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charts/chart124.xml" ContentType="application/vnd.openxmlformats-officedocument.drawingml.chart+xml"/>
  <Override PartName="/xl/charts/chart125.xml" ContentType="application/vnd.openxmlformats-officedocument.drawingml.chart+xml"/>
  <Override PartName="/xl/charts/chart126.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charts/chart129.xml" ContentType="application/vnd.openxmlformats-officedocument.drawingml.chart+xml"/>
  <Override PartName="/xl/charts/chart130.xml" ContentType="application/vnd.openxmlformats-officedocument.drawingml.chart+xml"/>
  <Override PartName="/xl/charts/chart131.xml" ContentType="application/vnd.openxmlformats-officedocument.drawingml.chart+xml"/>
  <Override PartName="/xl/charts/chart132.xml" ContentType="application/vnd.openxmlformats-officedocument.drawingml.chart+xml"/>
  <Override PartName="/xl/charts/chart133.xml" ContentType="application/vnd.openxmlformats-officedocument.drawingml.chart+xml"/>
  <Override PartName="/xl/charts/chart134.xml" ContentType="application/vnd.openxmlformats-officedocument.drawingml.chart+xml"/>
  <Override PartName="/xl/charts/chart135.xml" ContentType="application/vnd.openxmlformats-officedocument.drawingml.chart+xml"/>
  <Override PartName="/xl/charts/chart136.xml" ContentType="application/vnd.openxmlformats-officedocument.drawingml.chart+xml"/>
  <Override PartName="/xl/charts/chart137.xml" ContentType="application/vnd.openxmlformats-officedocument.drawingml.chart+xml"/>
  <Override PartName="/xl/charts/chart138.xml" ContentType="application/vnd.openxmlformats-officedocument.drawingml.chart+xml"/>
  <Override PartName="/xl/charts/chart139.xml" ContentType="application/vnd.openxmlformats-officedocument.drawingml.chart+xml"/>
  <Override PartName="/xl/charts/chart140.xml" ContentType="application/vnd.openxmlformats-officedocument.drawingml.chart+xml"/>
  <Override PartName="/xl/charts/chart141.xml" ContentType="application/vnd.openxmlformats-officedocument.drawingml.chart+xml"/>
  <Override PartName="/xl/charts/chart142.xml" ContentType="application/vnd.openxmlformats-officedocument.drawingml.chart+xml"/>
  <Override PartName="/xl/charts/chart143.xml" ContentType="application/vnd.openxmlformats-officedocument.drawingml.chart+xml"/>
  <Override PartName="/xl/charts/chart14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drawings/drawing33.xml" ContentType="application/vnd.openxmlformats-officedocument.drawing+xml"/>
  <Override PartName="/xl/worksheets/sheet35.xml" ContentType="application/vnd.openxmlformats-officedocument.spreadsheetml.worksheet+xml"/>
  <Override PartName="/xl/worksheets/sheet36.xml" ContentType="application/vnd.openxmlformats-officedocument.spreadsheetml.worksheet+xml"/>
  <Override PartName="/xl/drawings/drawing34.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drawings/drawing35.xml" ContentType="application/vnd.openxmlformats-officedocument.drawing+xml"/>
  <Override PartName="/xl/worksheets/sheet39.xml" ContentType="application/vnd.openxmlformats-officedocument.spreadsheetml.worksheet+xml"/>
  <Override PartName="/xl/drawings/drawing36.xml" ContentType="application/vnd.openxmlformats-officedocument.drawing+xml"/>
  <Override PartName="/xl/worksheets/sheet40.xml" ContentType="application/vnd.openxmlformats-officedocument.spreadsheetml.worksheet+xml"/>
  <Override PartName="/xl/drawings/drawing37.xml" ContentType="application/vnd.openxmlformats-officedocument.drawing+xml"/>
  <Override PartName="/xl/worksheets/sheet41.xml" ContentType="application/vnd.openxmlformats-officedocument.spreadsheetml.worksheet+xml"/>
  <Override PartName="/xl/worksheets/sheet42.xml" ContentType="application/vnd.openxmlformats-officedocument.spreadsheetml.worksheet+xml"/>
  <Override PartName="/xl/drawings/drawing38.xml" ContentType="application/vnd.openxmlformats-officedocument.drawing+xml"/>
  <Override PartName="/xl/worksheets/sheet43.xml" ContentType="application/vnd.openxmlformats-officedocument.spreadsheetml.worksheet+xml"/>
  <Override PartName="/xl/drawings/drawing39.xml" ContentType="application/vnd.openxmlformats-officedocument.drawing+xml"/>
  <Override PartName="/xl/worksheets/sheet44.xml" ContentType="application/vnd.openxmlformats-officedocument.spreadsheetml.worksheet+xml"/>
  <Override PartName="/xl/drawings/drawing40.xml" ContentType="application/vnd.openxmlformats-officedocument.drawing+xml"/>
  <Override PartName="/xl/worksheets/sheet45.xml" ContentType="application/vnd.openxmlformats-officedocument.spreadsheetml.worksheet+xml"/>
  <Override PartName="/xl/drawings/drawing41.xml" ContentType="application/vnd.openxmlformats-officedocument.drawing+xml"/>
  <Override PartName="/xl/worksheets/sheet46.xml" ContentType="application/vnd.openxmlformats-officedocument.spreadsheetml.worksheet+xml"/>
  <Override PartName="/xl/drawings/drawing42.xml" ContentType="application/vnd.openxmlformats-officedocument.drawing+xml"/>
  <Override PartName="/xl/worksheets/sheet47.xml" ContentType="application/vnd.openxmlformats-officedocument.spreadsheetml.worksheet+xml"/>
  <Override PartName="/xl/drawings/drawing43.xml" ContentType="application/vnd.openxmlformats-officedocument.drawing+xml"/>
  <Override PartName="/xl/worksheets/sheet48.xml" ContentType="application/vnd.openxmlformats-officedocument.spreadsheetml.worksheet+xml"/>
  <Override PartName="/xl/drawings/drawing44.xml" ContentType="application/vnd.openxmlformats-officedocument.drawing+xml"/>
  <Override PartName="/xl/worksheets/sheet49.xml" ContentType="application/vnd.openxmlformats-officedocument.spreadsheetml.worksheet+xml"/>
  <Override PartName="/xl/drawings/drawing45.xml" ContentType="application/vnd.openxmlformats-officedocument.drawing+xml"/>
  <Override PartName="/xl/worksheets/sheet50.xml" ContentType="application/vnd.openxmlformats-officedocument.spreadsheetml.worksheet+xml"/>
  <Override PartName="/xl/drawings/drawing46.xml" ContentType="application/vnd.openxmlformats-officedocument.drawing+xml"/>
  <Override PartName="/xl/worksheets/sheet51.xml" ContentType="application/vnd.openxmlformats-officedocument.spreadsheetml.worksheet+xml"/>
  <Override PartName="/xl/drawings/drawing47.xml" ContentType="application/vnd.openxmlformats-officedocument.drawing+xml"/>
  <Override PartName="/xl/worksheets/sheet52.xml" ContentType="application/vnd.openxmlformats-officedocument.spreadsheetml.worksheet+xml"/>
  <Override PartName="/xl/drawings/drawing48.xml" ContentType="application/vnd.openxmlformats-officedocument.drawing+xml"/>
  <Override PartName="/xl/worksheets/sheet53.xml" ContentType="application/vnd.openxmlformats-officedocument.spreadsheetml.worksheet+xml"/>
  <Override PartName="/xl/drawings/drawing4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65" yWindow="285" windowWidth="8250" windowHeight="4515" tabRatio="763" activeTab="1"/>
  </bookViews>
  <sheets>
    <sheet name="lipscomb compiled" sheetId="1" r:id="rId1"/>
    <sheet name="Files Used In Analysis" sheetId="2" r:id="rId2"/>
    <sheet name="Wandel 1998 " sheetId="3" r:id="rId3"/>
    <sheet name="Zhang 2002" sheetId="4" r:id="rId4"/>
    <sheet name="Keddaris 1993" sheetId="5" r:id="rId5"/>
    <sheet name="NGUI 2001" sheetId="6" r:id="rId6"/>
    <sheet name="jensen 1999" sheetId="7" r:id="rId7"/>
    <sheet name="roberts 1991" sheetId="8" r:id="rId8"/>
    <sheet name="gardner 1997" sheetId="9" r:id="rId9"/>
    <sheet name="Kohl 2000" sheetId="10" r:id="rId10"/>
    <sheet name="Zhang 1995" sheetId="11" r:id="rId11"/>
    <sheet name="kobayashi 1998" sheetId="12" r:id="rId12"/>
    <sheet name="Yasui-Furukori 2001" sheetId="13" r:id="rId13"/>
    <sheet name="grace 1998" sheetId="14" r:id="rId14"/>
    <sheet name="Lash 1999" sheetId="15" r:id="rId15"/>
    <sheet name="Fisher 2000" sheetId="16" r:id="rId16"/>
    <sheet name="summary" sheetId="17" r:id="rId17"/>
    <sheet name="QUESTIONS" sheetId="18" r:id="rId18"/>
    <sheet name="wu 1997" sheetId="19" r:id="rId19"/>
    <sheet name="bourrie1999" sheetId="20" r:id="rId20"/>
    <sheet name="shiraga, 2004" sheetId="21" r:id="rId21"/>
    <sheet name="Zhou 1993" sheetId="22" r:id="rId22"/>
    <sheet name="magdalou 1992" sheetId="23" r:id="rId23"/>
    <sheet name="zhou-pan 1993" sheetId="24" r:id="rId24"/>
    <sheet name="inaba 1988" sheetId="25" r:id="rId25"/>
    <sheet name="thummel 1994" sheetId="26" r:id="rId26"/>
    <sheet name="kirkwood 1998" sheetId="27" r:id="rId27"/>
    <sheet name="seaton 1995" sheetId="28" r:id="rId28"/>
    <sheet name="botsch 1992" sheetId="29" r:id="rId29"/>
    <sheet name="transon 1996" sheetId="30" r:id="rId30"/>
    <sheet name="kumar 1994" sheetId="31" r:id="rId31"/>
    <sheet name="clarke 1987" sheetId="32" r:id="rId32"/>
    <sheet name="cantoreggi" sheetId="33" r:id="rId33"/>
    <sheet name="baker 1995" sheetId="34" r:id="rId34"/>
    <sheet name="Rodrigues 1996" sheetId="35" r:id="rId35"/>
    <sheet name="ward 2003" sheetId="36" r:id="rId36"/>
    <sheet name="firkusny 1994" sheetId="37" r:id="rId37"/>
    <sheet name="niwa 2005" sheetId="38" r:id="rId38"/>
    <sheet name="komatsu 2001" sheetId="39" r:id="rId39"/>
    <sheet name="guttion 1998" sheetId="40" r:id="rId40"/>
    <sheet name="Km Vmax Correlation Summary" sheetId="41" r:id="rId41"/>
    <sheet name="Correlation 2" sheetId="42" r:id="rId42"/>
    <sheet name="Wandell Correllation" sheetId="43" r:id="rId43"/>
    <sheet name="Keddaris 1993 Correlation 5" sheetId="44" r:id="rId44"/>
    <sheet name="zhang 2002 Correlation 4" sheetId="45" r:id="rId45"/>
    <sheet name="Kohl 2000Correlation 6" sheetId="46" r:id="rId46"/>
    <sheet name="Kobayashi Correlation " sheetId="47" r:id="rId47"/>
    <sheet name="Yasui-Correlation " sheetId="48" r:id="rId48"/>
    <sheet name="grace 1988Correlation " sheetId="49" r:id="rId49"/>
    <sheet name="Correlation Wu 1997" sheetId="50" r:id="rId50"/>
    <sheet name="Correlation thummel 1994" sheetId="51" r:id="rId51"/>
    <sheet name="Correlation botsh" sheetId="52" r:id="rId52"/>
    <sheet name="Correlation kumar 94" sheetId="53" r:id="rId53"/>
  </sheets>
  <definedNames>
    <definedName name="__sm_DR_1ddf033" localSheetId="18">'wu 1997'!$I$11:$K$11</definedName>
    <definedName name="__sm_DR_1ddfc02b" localSheetId="12">'Yasui-Furukori 2001'!$J$12:$L$13</definedName>
    <definedName name="__sm_DR_29672e17" localSheetId="4">'Keddaris 1993'!$A$9:$E$10</definedName>
    <definedName name="__sm_DR_2bd28411" localSheetId="3">'Zhang 2002'!$I$6:$K$7</definedName>
    <definedName name="__sm_DR_32da54bd" localSheetId="28">'botsch 1992'!$I$8:$K$9</definedName>
    <definedName name="__sm_DR_4267f39d" localSheetId="9">'Kohl 2000'!$B$11:$E$12</definedName>
    <definedName name="__sm_DR_4ed3b21c" localSheetId="2">'Wandel 1998 '!$Y$11:$Y$12</definedName>
    <definedName name="__sm_DR_73660890" localSheetId="3">'Zhang 2002'!$B$6:$G$7</definedName>
    <definedName name="__sm_DR_78786c0d" localSheetId="7">'roberts 1991'!$R$18:$S$18</definedName>
    <definedName name="__sm_DR_7cdfed2f" localSheetId="13">'grace 1998'!$H$11:$J$11</definedName>
    <definedName name="__sm_DR_7d64a8a7" localSheetId="12">'Yasui-Furukori 2001'!$E$12:$H$12</definedName>
    <definedName name="__sm_DR_7fdf26a2" localSheetId="9">'Kohl 2000'!$I$11:$L$12</definedName>
    <definedName name="__sm_DR_8862dc59" localSheetId="30">'kumar 1994'!$D$11:$I$12</definedName>
    <definedName name="__sm_DR_8a7be207" localSheetId="2">'Wandel 1998 '!$A$11:$F$11</definedName>
    <definedName name="__sm_DR_9a64e32c" localSheetId="13">'grace 1998'!$C$11:$F$11</definedName>
    <definedName name="__sm_DR_9ad2320b" localSheetId="2">'Wandel 1998 '!$R$11:$V$12</definedName>
    <definedName name="__sm_DR_9ada2d37" localSheetId="25">'thummel 1994'!$N$15:$R$16</definedName>
    <definedName name="__sm_DR_a9656a31" localSheetId="18">'wu 1997'!$B$11:$G$11</definedName>
    <definedName name="__sm_DR_addecd1e" localSheetId="4">'Keddaris 1993'!$G$9:$I$10</definedName>
    <definedName name="__sm_DR_af642aa2" localSheetId="11">'kobayashi 1998'!$B$10:$E$11</definedName>
    <definedName name="__sm_DR_bf62a24d" localSheetId="28">'botsch 1992'!$C$8:$F$9</definedName>
    <definedName name="__sm_DR_bf7acd85" localSheetId="18">'wu 1997'!$B$8:$G$9</definedName>
    <definedName name="__sm_DR_cb626c43" localSheetId="25">'thummel 1994'!$D$15:$L$16</definedName>
    <definedName name="__sm_DR_dd2fb95" localSheetId="3">'Zhang 2002'!$T$6:$Y$7</definedName>
    <definedName name="__sm_DR_e165bc38" localSheetId="25">'thummel 1994'!$D$14:$L$14</definedName>
    <definedName name="__sm_DR_f62cfd2" localSheetId="30">'kumar 1994'!$D$9:$I$9</definedName>
    <definedName name="__sm_DR_fcdf4fa7" localSheetId="11">'kobayashi 1998'!$G$10:$I$11</definedName>
    <definedName name="__sm_DR_fd624a42" localSheetId="25">'thummel 1994'!$D$14:$L$14</definedName>
    <definedName name="__sm_DV_1ddf033" localSheetId="18">{1;2;"";FALSE}</definedName>
    <definedName name="__sm_DV_1ddfc02b" localSheetId="12">{1;2;"";FALSE}</definedName>
    <definedName name="__sm_DV_29672e17" localSheetId="4">{1;2;"";FALSE}</definedName>
    <definedName name="__sm_DV_2bd28411" localSheetId="3">{1;2;"";FALSE}</definedName>
    <definedName name="__sm_DV_32da54bd" localSheetId="28">{1;2;"";FALSE}</definedName>
    <definedName name="__sm_DV_4267f39d" localSheetId="9">{1;2;"";FALSE}</definedName>
    <definedName name="__sm_DV_4ed3b21c" localSheetId="2">{1;2;"";FALSE}</definedName>
    <definedName name="__sm_DV_73660890" localSheetId="3">{1;2;"";FALSE}</definedName>
    <definedName name="__sm_DV_78786c0d" localSheetId="7">{1;2;"";FALSE}</definedName>
    <definedName name="__sm_DV_7cdfed2f" localSheetId="13">{1;2;"";FALSE}</definedName>
    <definedName name="__sm_DV_7d64a8a7" localSheetId="12">{1;2;"";FALSE}</definedName>
    <definedName name="__sm_DV_7fdf26a2" localSheetId="9">{1;2;"";FALSE}</definedName>
    <definedName name="__sm_DV_8862dc59" localSheetId="30">{1;2;"";FALSE}</definedName>
    <definedName name="__sm_DV_8a7be207" localSheetId="2">{1;2;"";FALSE}</definedName>
    <definedName name="__sm_DV_9a64e32c" localSheetId="13">{1;2;"";FALSE}</definedName>
    <definedName name="__sm_DV_9ad2320b" localSheetId="2">{1;2;"";FALSE}</definedName>
    <definedName name="__sm_DV_9ada2d37" localSheetId="25">{1;2;"";FALSE}</definedName>
    <definedName name="__sm_DV_a9656a31" localSheetId="18">{1;2;"";FALSE}</definedName>
    <definedName name="__sm_DV_addecd1e" localSheetId="4">{1;2;"";FALSE}</definedName>
    <definedName name="__sm_DV_af642aa2" localSheetId="11">{1;2;"";FALSE}</definedName>
    <definedName name="__sm_DV_bf62a24d" localSheetId="28">{1;2;"";FALSE}</definedName>
    <definedName name="__sm_DV_bf7acd85" localSheetId="18">{1;1;"";FALSE}</definedName>
    <definedName name="__sm_DV_cb626c43" localSheetId="25">{1;2;"";FALSE}</definedName>
    <definedName name="__sm_DV_dd2fb95" localSheetId="3">{1;2;"";FALSE}</definedName>
    <definedName name="__sm_DV_e165bc38" localSheetId="25">{1;2;"";FALSE}</definedName>
    <definedName name="__sm_DV_f62cfd2" localSheetId="30">{1;2;"";FALSE}</definedName>
    <definedName name="__sm_DV_fcdf4fa7" localSheetId="11">{1;2;"";FALSE}</definedName>
    <definedName name="__sm_DV_fd624a42" localSheetId="25">{1;2;"";FALSE}</definedName>
    <definedName name="__sm_EV_0" localSheetId="41">'roberts 1991'!__sm_DR_78786c0d</definedName>
    <definedName name="__sm_EV_0" localSheetId="51">'botsch 1992'!__sm_DR_bf62a24d</definedName>
    <definedName name="__sm_EV_0" localSheetId="52">'kumar 1994'!__sm_DR_8862dc59</definedName>
    <definedName name="__sm_EV_0" localSheetId="50">'thummel 1994'!__sm_DR_cb626c43</definedName>
    <definedName name="__sm_EV_0" localSheetId="49">'wu 1997'!__sm_DR_a9656a31</definedName>
    <definedName name="__sm_EV_0" localSheetId="48">'grace 1998'!__sm_DR_9a64e32c</definedName>
    <definedName name="__sm_EV_0" localSheetId="43">'Keddaris 1993'!__sm_DR_29672e17</definedName>
    <definedName name="__sm_EV_0" localSheetId="46">'kobayashi 1998'!__sm_DR_af642aa2</definedName>
    <definedName name="__sm_EV_0" localSheetId="45">'Kohl 2000'!__sm_DR_4267f39d</definedName>
    <definedName name="__sm_EV_0" localSheetId="42">'Wandel 1998 '!__sm_DR_8a7be207</definedName>
    <definedName name="__sm_EV_0" localSheetId="47">'Yasui-Furukori 2001'!__sm_DR_7d64a8a7</definedName>
    <definedName name="__sm_EV_0" localSheetId="44">'Zhang 2002'!__sm_DR_73660890</definedName>
    <definedName name="__sm_EV_1" localSheetId="41">{2;"";FALSE}</definedName>
    <definedName name="__sm_EV_1" localSheetId="51">{2;"";FALSE}</definedName>
    <definedName name="__sm_EV_1" localSheetId="52">{2;"taxol 6-alpha-hydroxylation";FALSE}</definedName>
    <definedName name="__sm_EV_1" localSheetId="50">{2;"";FALSE}</definedName>
    <definedName name="__sm_EV_1" localSheetId="49">{2;"";FALSE}</definedName>
    <definedName name="__sm_EV_1" localSheetId="48">{2;"";FALSE}</definedName>
    <definedName name="__sm_EV_1" localSheetId="43">{2;"";FALSE}</definedName>
    <definedName name="__sm_EV_1" localSheetId="46">{2;"";FALSE}</definedName>
    <definedName name="__sm_EV_1" localSheetId="45">{2;"";FALSE}</definedName>
    <definedName name="__sm_EV_1" localSheetId="42">{2;"";FALSE}</definedName>
    <definedName name="__sm_EV_1" localSheetId="47">{2;"";FALSE}</definedName>
    <definedName name="__sm_EV_1" localSheetId="44">{2;"";FALSE}</definedName>
    <definedName name="__sm_QV_0_9c4_860" localSheetId="41">'Correlation 2'!__sm_ZV_3083890</definedName>
    <definedName name="__sm_QV_0_9c4_860" localSheetId="51">'Correlation botsh'!__sm_ZV_309a628</definedName>
    <definedName name="__sm_QV_0_9c4_860" localSheetId="52">'Correlation kumar 94'!__sm_ZV_309a5b0</definedName>
    <definedName name="__sm_QV_0_9c4_860" localSheetId="50">'Correlation thummel 1994'!__sm_ZV_30ab7d8</definedName>
    <definedName name="__sm_QV_0_9c4_860" localSheetId="49">'Correlation Wu 1997'!__sm_ZV_30aa598</definedName>
    <definedName name="__sm_QV_0_9c4_860" localSheetId="48">'grace 1988Correlation '!__sm_ZV_30a1108</definedName>
    <definedName name="__sm_QV_0_9c4_860" localSheetId="43">'Keddaris 1993 Correlation 5'!__sm_ZV_3092dc8</definedName>
    <definedName name="__sm_QV_0_9c4_860" localSheetId="46">'Kobayashi Correlation '!__sm_ZV_309b8a8</definedName>
    <definedName name="__sm_QV_0_9c4_860" localSheetId="45">'Kohl 2000Correlation 6'!__sm_ZV_309b378</definedName>
    <definedName name="__sm_QV_0_9c4_860" localSheetId="42">'Wandell Correllation'!__sm_ZV_1249760</definedName>
    <definedName name="__sm_QV_0_9c4_860" localSheetId="47">'Yasui-Correlation '!__sm_ZV_309fc08</definedName>
    <definedName name="__sm_QV_0_9c4_860" localSheetId="44">'zhang 2002 Correlation 4'!__sm_ZV_30918f0</definedName>
    <definedName name="__sm_QV_0_9c4_861" localSheetId="41">'Correlation 2'!__sm_ZV_308b440</definedName>
    <definedName name="__sm_QV_0_9c4_861" localSheetId="51">'Correlation botsh'!__sm_ZV_3083ae8</definedName>
    <definedName name="__sm_QV_0_9c4_861" localSheetId="52">'Correlation kumar 94'!__sm_ZV_30ae010</definedName>
    <definedName name="__sm_QV_0_9c4_861" localSheetId="50">'Correlation thummel 1994'!__sm_ZV_30a6be8</definedName>
    <definedName name="__sm_QV_0_9c4_861" localSheetId="49">'Correlation Wu 1997'!__sm_ZV_30a1dd8</definedName>
    <definedName name="__sm_QV_0_9c4_861" localSheetId="48">'grace 1988Correlation '!__sm_ZV_30a1190</definedName>
    <definedName name="__sm_QV_0_9c4_861" localSheetId="43">'Keddaris 1993 Correlation 5'!__sm_ZV_3091810</definedName>
    <definedName name="__sm_QV_0_9c4_861" localSheetId="46">'Kobayashi Correlation '!__sm_ZV_3093fd0</definedName>
    <definedName name="__sm_QV_0_9c4_861" localSheetId="45">'Kohl 2000Correlation 6'!__sm_ZV_309b338</definedName>
    <definedName name="__sm_QV_0_9c4_861" localSheetId="42">'Wandell Correllation'!__sm_ZV_3083068</definedName>
    <definedName name="__sm_QV_0_9c4_861" localSheetId="47">'Yasui-Correlation '!__sm_ZV_30a2158</definedName>
    <definedName name="__sm_QV_0_9c4_861" localSheetId="44">'zhang 2002 Correlation 4'!__sm_ZV_3092088</definedName>
    <definedName name="__sm_QV_0_9c4_a28_860" localSheetId="41">'Correlation 2'!__sm_ZV_3083890</definedName>
    <definedName name="__sm_QV_0_9c4_a28_860" localSheetId="51">'Correlation botsh'!__sm_ZV_309a628</definedName>
    <definedName name="__sm_QV_0_9c4_a28_860" localSheetId="52">'Correlation kumar 94'!__sm_ZV_309a5b0</definedName>
    <definedName name="__sm_QV_0_9c4_a28_860" localSheetId="50">'Correlation thummel 1994'!__sm_ZV_30ab7d8</definedName>
    <definedName name="__sm_QV_0_9c4_a28_860" localSheetId="49">'Correlation Wu 1997'!__sm_ZV_30aa598</definedName>
    <definedName name="__sm_QV_0_9c4_a28_860" localSheetId="48">'grace 1988Correlation '!__sm_ZV_30a1108</definedName>
    <definedName name="__sm_QV_0_9c4_a28_860" localSheetId="43">'Keddaris 1993 Correlation 5'!__sm_ZV_3092dc8</definedName>
    <definedName name="__sm_QV_0_9c4_a28_860" localSheetId="46">'Kobayashi Correlation '!__sm_ZV_309b8a8</definedName>
    <definedName name="__sm_QV_0_9c4_a28_860" localSheetId="45">'Kohl 2000Correlation 6'!__sm_ZV_309b378</definedName>
    <definedName name="__sm_QV_0_9c4_a28_860" localSheetId="42">'Wandell Correllation'!__sm_ZV_1249760</definedName>
    <definedName name="__sm_QV_0_9c4_a28_860" localSheetId="47">'Yasui-Correlation '!__sm_ZV_309fc08</definedName>
    <definedName name="__sm_QV_0_9c4_a28_860" localSheetId="44">'zhang 2002 Correlation 4'!__sm_ZV_30918f0</definedName>
    <definedName name="__sm_QV_0_9c4_a28_861" localSheetId="41">'Correlation 2'!__sm_ZV_308b440</definedName>
    <definedName name="__sm_QV_0_9c4_a28_861" localSheetId="51">'Correlation botsh'!__sm_ZV_3083ae8</definedName>
    <definedName name="__sm_QV_0_9c4_a28_861" localSheetId="52">'Correlation kumar 94'!__sm_ZV_30ae010</definedName>
    <definedName name="__sm_QV_0_9c4_a28_861" localSheetId="50">'Correlation thummel 1994'!__sm_ZV_30a6be8</definedName>
    <definedName name="__sm_QV_0_9c4_a28_861" localSheetId="49">'Correlation Wu 1997'!__sm_ZV_30a1dd8</definedName>
    <definedName name="__sm_QV_0_9c4_a28_861" localSheetId="48">'grace 1988Correlation '!__sm_ZV_30a1190</definedName>
    <definedName name="__sm_QV_0_9c4_a28_861" localSheetId="43">'Keddaris 1993 Correlation 5'!__sm_ZV_3091810</definedName>
    <definedName name="__sm_QV_0_9c4_a28_861" localSheetId="46">'Kobayashi Correlation '!__sm_ZV_3093fd0</definedName>
    <definedName name="__sm_QV_0_9c4_a28_861" localSheetId="45">'Kohl 2000Correlation 6'!__sm_ZV_309b338</definedName>
    <definedName name="__sm_QV_0_9c4_a28_861" localSheetId="42">'Wandell Correllation'!__sm_ZV_3083068</definedName>
    <definedName name="__sm_QV_0_9c4_a28_861" localSheetId="47">'Yasui-Correlation '!__sm_ZV_30a2158</definedName>
    <definedName name="__sm_QV_0_9c4_a28_861" localSheetId="44">'zhang 2002 Correlation 4'!__sm_ZV_3092088</definedName>
    <definedName name="__sm_QV_1249760" localSheetId="42">'Wandell Correllation'!__sm_ZV_1249760</definedName>
    <definedName name="__sm_QV_3083068" localSheetId="42">'Wandell Correllation'!__sm_ZV_3083068</definedName>
    <definedName name="__sm_QV_3083890" localSheetId="41">'Correlation 2'!__sm_ZV_3083890</definedName>
    <definedName name="__sm_QV_3083ae8" localSheetId="51">'Correlation botsh'!__sm_ZV_3083ae8</definedName>
    <definedName name="__sm_QV_308b440" localSheetId="41">'Correlation 2'!__sm_ZV_308b440</definedName>
    <definedName name="__sm_QV_3091810" localSheetId="43">'Keddaris 1993 Correlation 5'!__sm_ZV_3091810</definedName>
    <definedName name="__sm_QV_30918f0" localSheetId="44">'zhang 2002 Correlation 4'!__sm_ZV_30918f0</definedName>
    <definedName name="__sm_QV_3092088" localSheetId="44">'zhang 2002 Correlation 4'!__sm_ZV_3092088</definedName>
    <definedName name="__sm_QV_3092dc8" localSheetId="43">'Keddaris 1993 Correlation 5'!__sm_ZV_3092dc8</definedName>
    <definedName name="__sm_QV_3093fd0" localSheetId="46">'Kobayashi Correlation '!__sm_ZV_3093fd0</definedName>
    <definedName name="__sm_QV_309a5b0" localSheetId="52">'Correlation kumar 94'!__sm_ZV_309a5b0</definedName>
    <definedName name="__sm_QV_309a628" localSheetId="51">'Correlation botsh'!__sm_ZV_309a628</definedName>
    <definedName name="__sm_QV_309b338" localSheetId="45">'Kohl 2000Correlation 6'!__sm_ZV_309b338</definedName>
    <definedName name="__sm_QV_309b378" localSheetId="45">'Kohl 2000Correlation 6'!__sm_ZV_309b378</definedName>
    <definedName name="__sm_QV_309b8a8" localSheetId="46">'Kobayashi Correlation '!__sm_ZV_309b8a8</definedName>
    <definedName name="__sm_QV_309fc08" localSheetId="47">'Yasui-Correlation '!__sm_ZV_309fc08</definedName>
    <definedName name="__sm_QV_30a1108" localSheetId="48">'grace 1988Correlation '!__sm_ZV_30a1108</definedName>
    <definedName name="__sm_QV_30a1190" localSheetId="48">'grace 1988Correlation '!__sm_ZV_30a1190</definedName>
    <definedName name="__sm_QV_30a1dd8" localSheetId="49">'Correlation Wu 1997'!__sm_ZV_30a1dd8</definedName>
    <definedName name="__sm_QV_30a2158" localSheetId="47">'Yasui-Correlation '!__sm_ZV_30a2158</definedName>
    <definedName name="__sm_QV_30a6be8" localSheetId="50">'Correlation thummel 1994'!__sm_ZV_30a6be8</definedName>
    <definedName name="__sm_QV_30aa598" localSheetId="49">'Correlation Wu 1997'!__sm_ZV_30aa598</definedName>
    <definedName name="__sm_QV_30ab7d8" localSheetId="50">'Correlation thummel 1994'!__sm_ZV_30ab7d8</definedName>
    <definedName name="__sm_QV_30ae010" localSheetId="52">'Correlation kumar 94'!__sm_ZV_30ae010</definedName>
    <definedName name="__sm_TV_0" localSheetId="41">{1;1072;"Pearson correlation"}</definedName>
    <definedName name="__sm_TV_0" localSheetId="51">{1;1072;"Pearson correlation"}</definedName>
    <definedName name="__sm_TV_0" localSheetId="52">{1;1072;"Pearson correlation"}</definedName>
    <definedName name="__sm_TV_0" localSheetId="50">{1;1072;"Pearson correlation"}</definedName>
    <definedName name="__sm_TV_0" localSheetId="49">{1;1072;"Pearson correlation"}</definedName>
    <definedName name="__sm_TV_0" localSheetId="48">{1;1072;"Pearson correlation"}</definedName>
    <definedName name="__sm_TV_0" localSheetId="43">{1;1072;"Pearson correlation"}</definedName>
    <definedName name="__sm_TV_0" localSheetId="46">{1;1072;"Pearson correlation"}</definedName>
    <definedName name="__sm_TV_0" localSheetId="45">{1;1072;"Pearson correlation"}</definedName>
    <definedName name="__sm_TV_0" localSheetId="42">{1;1072;"Pearson correlation"}</definedName>
    <definedName name="__sm_TV_0" localSheetId="47">{1;1072;"Pearson correlation"}</definedName>
    <definedName name="__sm_TV_0" localSheetId="44">{1;1072;"Pearson correlation"}</definedName>
    <definedName name="__sm_VR_1ddf034" localSheetId="18">'wu 1997'!$I$11</definedName>
    <definedName name="__sm_VR_1ddf035" localSheetId="18">'wu 1997'!$J$11</definedName>
    <definedName name="__sm_VR_1ddf036" localSheetId="18">'wu 1997'!$K$11</definedName>
    <definedName name="__sm_VR_1ddfc02c" localSheetId="12">'Yasui-Furukori 2001'!$J$12:$J$13</definedName>
    <definedName name="__sm_VR_1ddfc02d" localSheetId="12">'Yasui-Furukori 2001'!$K$12:$K$13</definedName>
    <definedName name="__sm_VR_1ddfc02e" localSheetId="12">'Yasui-Furukori 2001'!$L$12:$L$13</definedName>
    <definedName name="__sm_VR_29672e18" localSheetId="4">'Keddaris 1993'!$A$9:$A$10</definedName>
    <definedName name="__sm_VR_29672e19" localSheetId="4">'Keddaris 1993'!$B$9:$B$10</definedName>
    <definedName name="__sm_VR_29672e1a" localSheetId="4">'Keddaris 1993'!$C$9:$C$10</definedName>
    <definedName name="__sm_VR_29672e1b" localSheetId="4">'Keddaris 1993'!$D$9:$D$10</definedName>
    <definedName name="__sm_VR_29672e1c" localSheetId="4">'Keddaris 1993'!$E$9:$E$10</definedName>
    <definedName name="__sm_VR_2bd28412" localSheetId="3">'Zhang 2002'!$I$6:$I$7</definedName>
    <definedName name="__sm_VR_2bd28413" localSheetId="3">'Zhang 2002'!$J$6:$J$7</definedName>
    <definedName name="__sm_VR_2bd28414" localSheetId="3">'Zhang 2002'!$K$6:$K$7</definedName>
    <definedName name="__sm_VR_32da54be" localSheetId="28">'botsch 1992'!$I$8:$I$9</definedName>
    <definedName name="__sm_VR_32da54bf" localSheetId="28">'botsch 1992'!$J$8:$J$9</definedName>
    <definedName name="__sm_VR_32da54c0" localSheetId="28">'botsch 1992'!$K$8:$K$9</definedName>
    <definedName name="__sm_VR_4ed3b21d" localSheetId="2">'Wandel 1998 '!$Y$11:$Y$12</definedName>
    <definedName name="__sm_VR_6c64a8a9" localSheetId="12">'Yasui-Furukori 2001'!$F$12</definedName>
    <definedName name="__sm_VR_6c64a8aa" localSheetId="12">'Yasui-Furukori 2001'!$G$12</definedName>
    <definedName name="__sm_VR_6c64a8ab" localSheetId="12">'Yasui-Furukori 2001'!$H$12</definedName>
    <definedName name="__sm_VR_73660891" localSheetId="3">'Zhang 2002'!$B$6:$B$7</definedName>
    <definedName name="__sm_VR_73660892" localSheetId="3">'Zhang 2002'!$C$6:$C$7</definedName>
    <definedName name="__sm_VR_73660893" localSheetId="3">'Zhang 2002'!$D$6:$D$7</definedName>
    <definedName name="__sm_VR_73660894" localSheetId="3">'Zhang 2002'!$E$6:$E$7</definedName>
    <definedName name="__sm_VR_73660895" localSheetId="3">'Zhang 2002'!$F$6:$F$7</definedName>
    <definedName name="__sm_VR_73660896" localSheetId="3">'Zhang 2002'!$G$6:$G$7</definedName>
    <definedName name="__sm_VR_78786c0e" localSheetId="7">'roberts 1991'!$R$18</definedName>
    <definedName name="__sm_VR_78786c0f" localSheetId="7">'roberts 1991'!$S$18</definedName>
    <definedName name="__sm_VR_7cdfed30" localSheetId="13">'grace 1998'!$H$11</definedName>
    <definedName name="__sm_VR_7cdfed31" localSheetId="13">'grace 1998'!$I$11</definedName>
    <definedName name="__sm_VR_7cdfed32" localSheetId="13">'grace 1998'!$J$11</definedName>
    <definedName name="__sm_VR_7d64a8a8" localSheetId="12">'Yasui-Furukori 2001'!$E$12</definedName>
    <definedName name="__sm_VR_7fdf26a3" localSheetId="9">'Kohl 2000'!$I$11:$I$12</definedName>
    <definedName name="__sm_VR_7fdf26a4" localSheetId="9">'Kohl 2000'!$J$11:$J$12</definedName>
    <definedName name="__sm_VR_7fdf26a5" localSheetId="9">'Kohl 2000'!$K$11:$K$12</definedName>
    <definedName name="__sm_VR_7fdf26a6" localSheetId="9">'Kohl 2000'!$L$11:$L$12</definedName>
    <definedName name="__sm_VR_8862dc5a" localSheetId="30">'kumar 1994'!$D$11:$D$12</definedName>
    <definedName name="__sm_VR_8862dc5b" localSheetId="30">'kumar 1994'!$E$11:$E$12</definedName>
    <definedName name="__sm_VR_8862dc5c" localSheetId="30">'kumar 1994'!$F$11:$F$12</definedName>
    <definedName name="__sm_VR_8862dc5d" localSheetId="30">'kumar 1994'!$G$11:$G$12</definedName>
    <definedName name="__sm_VR_8862dc5e" localSheetId="30">'kumar 1994'!$H$11:$H$12</definedName>
    <definedName name="__sm_VR_8862dc5f" localSheetId="30">'kumar 1994'!$I$11:$I$12</definedName>
    <definedName name="__sm_VR_8a64e32d" localSheetId="13">'grace 1998'!$C$11</definedName>
    <definedName name="__sm_VR_8a64e32e" localSheetId="13">'grace 1998'!$D$11</definedName>
    <definedName name="__sm_VR_8a64e32f" localSheetId="13">'grace 1998'!$E$11</definedName>
    <definedName name="__sm_VR_8a64e330" localSheetId="13">'grace 1998'!$F$11</definedName>
    <definedName name="__sm_VR_8a7be208" localSheetId="2">'Wandel 1998 '!$A$11</definedName>
    <definedName name="__sm_VR_8a7be209" localSheetId="2">'Wandel 1998 '!$B$11</definedName>
    <definedName name="__sm_VR_8a7be20a" localSheetId="2">'Wandel 1998 '!$D$11</definedName>
    <definedName name="__sm_VR_8a7be20b" localSheetId="2">'Wandel 1998 '!$E$11</definedName>
    <definedName name="__sm_VR_8a7be20c" localSheetId="2">'Wandel 1998 '!$F$11</definedName>
    <definedName name="__sm_VR_8ada2d38" localSheetId="25">'thummel 1994'!$N$15:$N$16</definedName>
    <definedName name="__sm_VR_8ada2d39" localSheetId="25">'thummel 1994'!$O$15:$O$16</definedName>
    <definedName name="__sm_VR_8ada2d3a" localSheetId="25">'thummel 1994'!$P$15:$P$16</definedName>
    <definedName name="__sm_VR_8ada2d3b" localSheetId="25">'thummel 1994'!$Q$15:$Q$16</definedName>
    <definedName name="__sm_VR_8ada2d3c" localSheetId="25">'thummel 1994'!$R$15:$R$16</definedName>
    <definedName name="__sm_VR_98656a33" localSheetId="18">'wu 1997'!$C$11</definedName>
    <definedName name="__sm_VR_98656a34" localSheetId="18">'wu 1997'!$D$11</definedName>
    <definedName name="__sm_VR_98656a35" localSheetId="18">'wu 1997'!$E$11</definedName>
    <definedName name="__sm_VR_98656a36" localSheetId="18">'wu 1997'!$F$11</definedName>
    <definedName name="__sm_VR_98656a37" localSheetId="18">'wu 1997'!$G$11</definedName>
    <definedName name="__sm_VR_9ad2320c" localSheetId="2">'Wandel 1998 '!$R$11:$R$12</definedName>
    <definedName name="__sm_VR_9ad2320d" localSheetId="2">'Wandel 1998 '!$S$11:$S$12</definedName>
    <definedName name="__sm_VR_9ad2320e" localSheetId="2">'Wandel 1998 '!$T$11:$T$12</definedName>
    <definedName name="__sm_VR_9ad2320f" localSheetId="2">'Wandel 1998 '!$U$11:$U$12</definedName>
    <definedName name="__sm_VR_9ad23210" localSheetId="2">'Wandel 1998 '!$V$11:$V$12</definedName>
    <definedName name="__sm_VR_a9656a32" localSheetId="18">'wu 1997'!$B$11</definedName>
    <definedName name="__sm_VR_addecd1f" localSheetId="4">'Keddaris 1993'!$G$9:$G$10</definedName>
    <definedName name="__sm_VR_addecd20" localSheetId="4">'Keddaris 1993'!$H$9:$H$10</definedName>
    <definedName name="__sm_VR_addecd21" localSheetId="4">'Keddaris 1993'!$I$9:$I$10</definedName>
    <definedName name="__sm_VR_af642aa3" localSheetId="11">'kobayashi 1998'!$B$10:$B$11</definedName>
    <definedName name="__sm_VR_af642aa4" localSheetId="11">'kobayashi 1998'!$C$10:$C$11</definedName>
    <definedName name="__sm_VR_af642aa5" localSheetId="11">'kobayashi 1998'!$D$10:$D$11</definedName>
    <definedName name="__sm_VR_af642aa6" localSheetId="11">'kobayashi 1998'!$E$10:$E$11</definedName>
    <definedName name="__sm_VR_b567f39e" localSheetId="9">'Kohl 2000'!$B$11:$B$12</definedName>
    <definedName name="__sm_VR_b567f39f" localSheetId="9">'Kohl 2000'!$C$11:$C$12</definedName>
    <definedName name="__sm_VR_b567f3a0" localSheetId="9">'Kohl 2000'!$D$11:$D$12</definedName>
    <definedName name="__sm_VR_b567f3a1" localSheetId="9">'Kohl 2000'!$E$11:$E$12</definedName>
    <definedName name="__sm_VR_bf62a24e" localSheetId="28">'botsch 1992'!$C$8:$C$9</definedName>
    <definedName name="__sm_VR_bf62a24f" localSheetId="28">'botsch 1992'!$D$8:$D$9</definedName>
    <definedName name="__sm_VR_bf62a250" localSheetId="28">'botsch 1992'!$E$8:$E$9</definedName>
    <definedName name="__sm_VR_bf62a251" localSheetId="28">'botsch 1992'!$F$8:$F$9</definedName>
    <definedName name="__sm_VR_bf7acd86" localSheetId="18">'wu 1997'!$B$8:$G$9</definedName>
    <definedName name="__sm_VR_cb626c44" localSheetId="25">'thummel 1994'!$D$15:$D$16</definedName>
    <definedName name="__sm_VR_cb626c45" localSheetId="25">'thummel 1994'!$E$15:$E$16</definedName>
    <definedName name="__sm_VR_cb626c46" localSheetId="25">'thummel 1994'!$F$15:$F$16</definedName>
    <definedName name="__sm_VR_cb626c47" localSheetId="25">'thummel 1994'!$G$15:$G$16</definedName>
    <definedName name="__sm_VR_cb626c48" localSheetId="25">'thummel 1994'!$H$15:$H$16</definedName>
    <definedName name="__sm_VR_cb626c49" localSheetId="25">'thummel 1994'!$I$15:$I$16</definedName>
    <definedName name="__sm_VR_cb626c4a" localSheetId="25">'thummel 1994'!$J$15:$J$16</definedName>
    <definedName name="__sm_VR_cb626c4b" localSheetId="25">'thummel 1994'!$K$15:$K$16</definedName>
    <definedName name="__sm_VR_cb626c4c" localSheetId="25">'thummel 1994'!$L$15:$L$16</definedName>
    <definedName name="__sm_VR_dd2fb96" localSheetId="3">'Zhang 2002'!$T$6:$T$7</definedName>
    <definedName name="__sm_VR_dd2fb97" localSheetId="3">'Zhang 2002'!$U$6:$U$7</definedName>
    <definedName name="__sm_VR_dd2fb98" localSheetId="3">'Zhang 2002'!$V$6:$V$7</definedName>
    <definedName name="__sm_VR_dd2fb99" localSheetId="3">'Zhang 2002'!$W$6:$W$7</definedName>
    <definedName name="__sm_VR_dd2fb9a" localSheetId="3">'Zhang 2002'!$X$6:$X$7</definedName>
    <definedName name="__sm_VR_dd2fb9b" localSheetId="3">'Zhang 2002'!$Y$6:$Y$7</definedName>
    <definedName name="__sm_VR_f62cfd3" localSheetId="30">'kumar 1994'!$D$9</definedName>
    <definedName name="__sm_VR_f62cfd4" localSheetId="30">'kumar 1994'!$E$9</definedName>
    <definedName name="__sm_VR_f62cfd5" localSheetId="30">'kumar 1994'!$F$9</definedName>
    <definedName name="__sm_VR_f62cfd6" localSheetId="30">'kumar 1994'!$G$9</definedName>
    <definedName name="__sm_VR_f62cfd7" localSheetId="30">'kumar 1994'!$H$9</definedName>
    <definedName name="__sm_VR_f62cfd8" localSheetId="30">'kumar 1994'!$I$9</definedName>
    <definedName name="__sm_VR_fcdf4fa8" localSheetId="11">'kobayashi 1998'!$G$10:$G$11</definedName>
    <definedName name="__sm_VR_fcdf4fa9" localSheetId="11">'kobayashi 1998'!$H$10:$H$11</definedName>
    <definedName name="__sm_VR_fcdf4faa" localSheetId="11">'kobayashi 1998'!$I$10:$I$11</definedName>
    <definedName name="__sm_VV_0" localSheetId="41">{16;1028;1;"Norcaine N-Hydroxylation - R2"}</definedName>
    <definedName name="__sm_VV_0" localSheetId="51">{16;1028;1;"Km - uM"}</definedName>
    <definedName name="__sm_VV_0" localSheetId="52">{16;1028;1;"Km - uM"}</definedName>
    <definedName name="__sm_VV_0" localSheetId="50">{16;1028;1;"Km - uM"}</definedName>
    <definedName name="__sm_VV_0" localSheetId="49">{16;1028;1;"Km (uM)"}</definedName>
    <definedName name="__sm_VV_0" localSheetId="48">{16;1028;1;"Km [AE]"}</definedName>
    <definedName name="__sm_VV_0" localSheetId="43">{16;1028;1;"Km - mM"}</definedName>
    <definedName name="__sm_VV_0" localSheetId="46">{16;1028;1;"Km - uM"}</definedName>
    <definedName name="__sm_VV_0" localSheetId="45">{16;1028;1;"Km - uM"}</definedName>
    <definedName name="__sm_VV_0" localSheetId="42">{16;1028;1;"Apparent Km Alpha-hydrox of Midazolam"}</definedName>
    <definedName name="__sm_VV_0" localSheetId="47">{16;1028;1;"Km uM"}</definedName>
    <definedName name="__sm_VV_0" localSheetId="44">{16;1028;1;"Km - uM"}</definedName>
    <definedName name="__sm_VV_1" localSheetId="41">{16;1028;1;"Norcaine N-Hydroxylation - R1"}</definedName>
    <definedName name="__sm_VV_1" localSheetId="51">{16;1028;1;"Vmax - pmol/mg protein/ min"}</definedName>
    <definedName name="__sm_VV_1" localSheetId="52">{16;1028;1;"Vmax - nmol/hr/mg protein"}</definedName>
    <definedName name="__sm_VV_1" localSheetId="50">{16;1028;1;"Vmax (S-13) - umol/min/mg"}</definedName>
    <definedName name="__sm_VV_1" localSheetId="49">{16;1028;1;"Vmax nmol/mg/hr"}</definedName>
    <definedName name="__sm_VV_1" localSheetId="48">{16;1028;1;"Vmax"}</definedName>
    <definedName name="__sm_VV_1" localSheetId="43">{16;1028;1;"Vmax - nmol/min/ mg protein"}</definedName>
    <definedName name="__sm_VV_1" localSheetId="46">{16;1028;1;"Vmax - nmol/min/mg of protein"}</definedName>
    <definedName name="__sm_VV_1" localSheetId="45">{16;1028;1;"Vmax - pmol/min mg"}</definedName>
    <definedName name="__sm_VV_1" localSheetId="42">{16;1028;1;"Apparent Vmax Alpha-hydrox of Midazolam"}</definedName>
    <definedName name="__sm_VV_1" localSheetId="47">{16;1028;1;"Vmax metabolite/min/mg protein"}</definedName>
    <definedName name="__sm_VV_1" localSheetId="44">{16;1028;1;"Vmax - nmol/mg/min"}</definedName>
    <definedName name="__sm_VV_1ddf034" localSheetId="18">{1;134218756}</definedName>
    <definedName name="__sm_VV_1ddf035" localSheetId="18">{1;134218756}</definedName>
    <definedName name="__sm_VV_1ddf036" localSheetId="18">{1;134218756}</definedName>
    <definedName name="__sm_VV_1ddfc02c" localSheetId="12">{1;134218756}</definedName>
    <definedName name="__sm_VV_1ddfc02d" localSheetId="12">{1;134218756}</definedName>
    <definedName name="__sm_VV_1ddfc02e" localSheetId="12">{1;134218756}</definedName>
    <definedName name="__sm_VV_2" localSheetId="41">{67108867;768;0}</definedName>
    <definedName name="__sm_VV_2" localSheetId="51">{67108867;768;0}</definedName>
    <definedName name="__sm_VV_2" localSheetId="52">{67108867;768;0}</definedName>
    <definedName name="__sm_VV_2" localSheetId="50">{67108867;768;0}</definedName>
    <definedName name="__sm_VV_2" localSheetId="49">{67108867;768;0}</definedName>
    <definedName name="__sm_VV_2" localSheetId="48">{67108867;768;0}</definedName>
    <definedName name="__sm_VV_2" localSheetId="43">{67108867;768;0}</definedName>
    <definedName name="__sm_VV_2" localSheetId="46">{67108867;768;0}</definedName>
    <definedName name="__sm_VV_2" localSheetId="45">{67108867;768;0}</definedName>
    <definedName name="__sm_VV_2" localSheetId="42">{67108867;768;0}</definedName>
    <definedName name="__sm_VV_2" localSheetId="47">{67108867;768;0}</definedName>
    <definedName name="__sm_VV_2" localSheetId="44">{67108867;768;0}</definedName>
    <definedName name="__sm_VV_29672e18" localSheetId="4">{1;134218756}</definedName>
    <definedName name="__sm_VV_29672e19" localSheetId="4">{1;134218756}</definedName>
    <definedName name="__sm_VV_29672e1a" localSheetId="4">{1;134218756}</definedName>
    <definedName name="__sm_VV_29672e1b" localSheetId="4">{1;134218756}</definedName>
    <definedName name="__sm_VV_29672e1c" localSheetId="4">{1;134218756}</definedName>
    <definedName name="__sm_VV_2bd28412" localSheetId="3">{1;134218756}</definedName>
    <definedName name="__sm_VV_2bd28413" localSheetId="3">{1;134218756}</definedName>
    <definedName name="__sm_VV_2bd28414" localSheetId="3">{1;134218756}</definedName>
    <definedName name="__sm_VV_3" localSheetId="41">{134218756;258;95}</definedName>
    <definedName name="__sm_VV_3" localSheetId="51">{134218756;258;95}</definedName>
    <definedName name="__sm_VV_3" localSheetId="52">{134218756;258;95}</definedName>
    <definedName name="__sm_VV_3" localSheetId="50">{134218756;258;95}</definedName>
    <definedName name="__sm_VV_3" localSheetId="49">{134218756;258;95}</definedName>
    <definedName name="__sm_VV_3" localSheetId="48">{134218756;258;95}</definedName>
    <definedName name="__sm_VV_3" localSheetId="43">{134218756;258;95}</definedName>
    <definedName name="__sm_VV_3" localSheetId="46">{134218756;258;95}</definedName>
    <definedName name="__sm_VV_3" localSheetId="45">{134218756;258;95}</definedName>
    <definedName name="__sm_VV_3" localSheetId="42">{134218756;258;95}</definedName>
    <definedName name="__sm_VV_3" localSheetId="47">{134218756;258;95}</definedName>
    <definedName name="__sm_VV_3" localSheetId="44">{134218756;258;95}</definedName>
    <definedName name="__sm_VV_32da54be" localSheetId="28">{1;134218756}</definedName>
    <definedName name="__sm_VV_32da54bf" localSheetId="28">{1;134218756}</definedName>
    <definedName name="__sm_VV_32da54c0" localSheetId="28">{1;134218756}</definedName>
    <definedName name="__sm_VV_4ed3b21d" localSheetId="2">{1;134218756}</definedName>
    <definedName name="__sm_VV_6c64a8a9" localSheetId="12">{1;134218756}</definedName>
    <definedName name="__sm_VV_6c64a8aa" localSheetId="12">{1;134218756}</definedName>
    <definedName name="__sm_VV_6c64a8ab" localSheetId="12">{1;134218756}</definedName>
    <definedName name="__sm_VV_73660891" localSheetId="3">{1;134218756}</definedName>
    <definedName name="__sm_VV_73660892" localSheetId="3">{1;134218756}</definedName>
    <definedName name="__sm_VV_73660893" localSheetId="3">{1;134218756}</definedName>
    <definedName name="__sm_VV_73660894" localSheetId="3">{1;134218756}</definedName>
    <definedName name="__sm_VV_73660895" localSheetId="3">{1;134218756}</definedName>
    <definedName name="__sm_VV_73660896" localSheetId="3">{1;134218756}</definedName>
    <definedName name="__sm_VV_78786c0e" localSheetId="7">{1;134218756}</definedName>
    <definedName name="__sm_VV_78786c0f" localSheetId="7">{1;134218756}</definedName>
    <definedName name="__sm_VV_7cdfed30" localSheetId="13">{1;134218756}</definedName>
    <definedName name="__sm_VV_7cdfed31" localSheetId="13">{1;134218756}</definedName>
    <definedName name="__sm_VV_7cdfed32" localSheetId="13">{1;134218756}</definedName>
    <definedName name="__sm_VV_7d64a8a8" localSheetId="12">{1;134218756}</definedName>
    <definedName name="__sm_VV_7fdf26a3" localSheetId="9">{1;134218756}</definedName>
    <definedName name="__sm_VV_7fdf26a4" localSheetId="9">{1;134218756}</definedName>
    <definedName name="__sm_VV_7fdf26a5" localSheetId="9">{1;134218756}</definedName>
    <definedName name="__sm_VV_7fdf26a6" localSheetId="9">{1;134218756}</definedName>
    <definedName name="__sm_VV_8862dc5a" localSheetId="30">{1;134218756}</definedName>
    <definedName name="__sm_VV_8862dc5b" localSheetId="30">{1;134218756}</definedName>
    <definedName name="__sm_VV_8862dc5c" localSheetId="30">{1;134218756}</definedName>
    <definedName name="__sm_VV_8862dc5d" localSheetId="30">{1;134218756}</definedName>
    <definedName name="__sm_VV_8862dc5e" localSheetId="30">{1;134218756}</definedName>
    <definedName name="__sm_VV_8862dc5f" localSheetId="30">{1;134218756}</definedName>
    <definedName name="__sm_VV_8a64e32d" localSheetId="13">{1;134218756}</definedName>
    <definedName name="__sm_VV_8a64e32e" localSheetId="13">{1;134218756}</definedName>
    <definedName name="__sm_VV_8a64e32f" localSheetId="13">{1;134218756}</definedName>
    <definedName name="__sm_VV_8a64e330" localSheetId="13">{1;134218756}</definedName>
    <definedName name="__sm_VV_8a7be208" localSheetId="2">{1;134218756}</definedName>
    <definedName name="__sm_VV_8a7be209" localSheetId="2">{1;134218756}</definedName>
    <definedName name="__sm_VV_8a7be20a" localSheetId="2">{1;134218756}</definedName>
    <definedName name="__sm_VV_8a7be20b" localSheetId="2">{1;134218756}</definedName>
    <definedName name="__sm_VV_8a7be20c" localSheetId="2">{1;134218756}</definedName>
    <definedName name="__sm_VV_8ada2d38" localSheetId="25">{1;134218756}</definedName>
    <definedName name="__sm_VV_8ada2d39" localSheetId="25">{1;134218756}</definedName>
    <definedName name="__sm_VV_8ada2d3a" localSheetId="25">{1;134218756}</definedName>
    <definedName name="__sm_VV_8ada2d3b" localSheetId="25">{1;134218756}</definedName>
    <definedName name="__sm_VV_8ada2d3c" localSheetId="25">{1;134218756}</definedName>
    <definedName name="__sm_VV_98656a33" localSheetId="18">{1;134218756}</definedName>
    <definedName name="__sm_VV_98656a34" localSheetId="18">{1;134218756}</definedName>
    <definedName name="__sm_VV_98656a35" localSheetId="18">{1;134218756}</definedName>
    <definedName name="__sm_VV_98656a36" localSheetId="18">{1;134218756}</definedName>
    <definedName name="__sm_VV_98656a37" localSheetId="18">{1;134218756}</definedName>
    <definedName name="__sm_VV_9ad2320c" localSheetId="2">{1;134218756}</definedName>
    <definedName name="__sm_VV_9ad2320d" localSheetId="2">{1;134218756}</definedName>
    <definedName name="__sm_VV_9ad2320e" localSheetId="2">{1;134218756}</definedName>
    <definedName name="__sm_VV_9ad2320f" localSheetId="2">{1;134218756}</definedName>
    <definedName name="__sm_VV_9ad23210" localSheetId="2">{1;134218756}</definedName>
    <definedName name="__sm_VV_a9656a32" localSheetId="18">{1;134218756}</definedName>
    <definedName name="__sm_VV_addecd1f" localSheetId="4">{1;134218756}</definedName>
    <definedName name="__sm_VV_addecd20" localSheetId="4">{1;134218756}</definedName>
    <definedName name="__sm_VV_addecd21" localSheetId="4">{1;134218756}</definedName>
    <definedName name="__sm_VV_af642aa3" localSheetId="11">{1;134218756}</definedName>
    <definedName name="__sm_VV_af642aa4" localSheetId="11">{1;134218756}</definedName>
    <definedName name="__sm_VV_af642aa5" localSheetId="11">{1;134218756}</definedName>
    <definedName name="__sm_VV_af642aa6" localSheetId="11">{1;134218756}</definedName>
    <definedName name="__sm_VV_b567f39e" localSheetId="9">{1;134218756}</definedName>
    <definedName name="__sm_VV_b567f39f" localSheetId="9">{1;134218756}</definedName>
    <definedName name="__sm_VV_b567f3a0" localSheetId="9">{1;134218756}</definedName>
    <definedName name="__sm_VV_b567f3a1" localSheetId="9">{1;134218756}</definedName>
    <definedName name="__sm_VV_bf62a24e" localSheetId="28">{1;134218756}</definedName>
    <definedName name="__sm_VV_bf62a24f" localSheetId="28">{1;134218756}</definedName>
    <definedName name="__sm_VV_bf62a250" localSheetId="28">{1;134218756}</definedName>
    <definedName name="__sm_VV_bf62a251" localSheetId="28">{1;134218756}</definedName>
    <definedName name="__sm_VV_bf7acd86" localSheetId="18">{1;134218756}</definedName>
    <definedName name="__sm_VV_cb626c44" localSheetId="25">{1;134218756}</definedName>
    <definedName name="__sm_VV_cb626c45" localSheetId="25">{1;134218756}</definedName>
    <definedName name="__sm_VV_cb626c46" localSheetId="25">{1;134218756}</definedName>
    <definedName name="__sm_VV_cb626c47" localSheetId="25">{1;134218756}</definedName>
    <definedName name="__sm_VV_cb626c48" localSheetId="25">{1;134218756}</definedName>
    <definedName name="__sm_VV_cb626c49" localSheetId="25">{1;134218756}</definedName>
    <definedName name="__sm_VV_cb626c4a" localSheetId="25">{1;134218756}</definedName>
    <definedName name="__sm_VV_cb626c4b" localSheetId="25">{1;134218756}</definedName>
    <definedName name="__sm_VV_cb626c4c" localSheetId="25">{1;134218756}</definedName>
    <definedName name="__sm_VV_dd2fb96" localSheetId="3">{1;134218756}</definedName>
    <definedName name="__sm_VV_dd2fb97" localSheetId="3">{1;134218756}</definedName>
    <definedName name="__sm_VV_dd2fb98" localSheetId="3">{1;134218756}</definedName>
    <definedName name="__sm_VV_dd2fb99" localSheetId="3">{1;134218756}</definedName>
    <definedName name="__sm_VV_dd2fb9a" localSheetId="3">{1;134218756}</definedName>
    <definedName name="__sm_VV_dd2fb9b" localSheetId="3">{1;134218756}</definedName>
    <definedName name="__sm_VV_f62cfd3" localSheetId="30">{1;134218756}</definedName>
    <definedName name="__sm_VV_f62cfd4" localSheetId="30">{1;134218756}</definedName>
    <definedName name="__sm_VV_f62cfd5" localSheetId="30">{1;134218756}</definedName>
    <definedName name="__sm_VV_f62cfd6" localSheetId="30">{1;134218756}</definedName>
    <definedName name="__sm_VV_f62cfd7" localSheetId="30">{1;134218756}</definedName>
    <definedName name="__sm_VV_f62cfd8" localSheetId="30">{1;134218756}</definedName>
    <definedName name="__sm_VV_fcdf4fa8" localSheetId="11">{1;134218756}</definedName>
    <definedName name="__sm_VV_fcdf4fa9" localSheetId="11">{1;134218756}</definedName>
    <definedName name="__sm_VV_fcdf4faa" localSheetId="11">{1;134218756}</definedName>
    <definedName name="__sm_ZV_1249760" localSheetId="42">{4.5;3.54;4.53;8.32;6.37;4;3.2;5.2;2.5;18.07;13.18;33.4;17.6;22.54;6.57}</definedName>
    <definedName name="__sm_ZV_3083068" localSheetId="42">{3.35;2.2;3.71;0.9;4.07;1.6;1.7;2.5;1.75;1.84;1.3;4.81;3.06;3.42;1.12}</definedName>
    <definedName name="__sm_ZV_3083890" localSheetId="41">{3.19;3.46;4.26;6.2;6.54;17.57}</definedName>
    <definedName name="__sm_ZV_3083ae8" localSheetId="51">{96.6;63.3;30;160;165;19.5;201.7}</definedName>
    <definedName name="__sm_ZV_308b440" localSheetId="41">{0.44;0.6;0.88;1.02;1.28;2.34}</definedName>
    <definedName name="__sm_ZV_3091810" localSheetId="43">{8.4;8.3;14.1;9.1;15.8;18.8}</definedName>
    <definedName name="__sm_ZV_30918f0" localSheetId="44">{7.8;5.2;2.8;3.3;3.2}</definedName>
    <definedName name="__sm_ZV_3092088" localSheetId="44">{0.056;0.18;0.29;0.05;0.045}</definedName>
    <definedName name="__sm_ZV_3092dc8" localSheetId="43">{2.3;1.7;1.9;0.6;3.2;3.1}</definedName>
    <definedName name="__sm_ZV_3093fd0" localSheetId="46">{1.14;0.723;0.644;0.363;0.722}</definedName>
    <definedName name="__sm_ZV_309a5b0" localSheetId="52">{22.1;18.8;39.7;12.5;8.4;6.6}</definedName>
    <definedName name="__sm_ZV_309a628" localSheetId="51">{104;154;91;81;105;115;128}</definedName>
    <definedName name="__sm_ZV_309b338" localSheetId="45">{94;79;40;44;94;1532}</definedName>
    <definedName name="__sm_ZV_309b378" localSheetId="45">{32;37;11;73;40;768}</definedName>
    <definedName name="__sm_ZV_309b8a8" localSheetId="46">{51.1;43.3;38.3;25.8;38.7}</definedName>
    <definedName name="__sm_ZV_309fc08" localSheetId="47">{87.8;101;181;52;103;91.6}</definedName>
    <definedName name="__sm_ZV_30a1108" localSheetId="48">{52.2;103.6;22.8;35.6;46;90;40.5;47.5}</definedName>
    <definedName name="__sm_ZV_30a1190" localSheetId="48">{0.19;1.33;1.09;0.64;1.25;6.9;3.26;1.26}</definedName>
    <definedName name="__sm_ZV_30a1dd8" localSheetId="49">{51.5;48;27.6;19.6;15;14.2}</definedName>
    <definedName name="__sm_ZV_30a2158" localSheetId="47">{481;328;376;146;323;602}</definedName>
    <definedName name="__sm_ZV_30a6be8" localSheetId="50">{98.2;18.5;261.7;532.9;162.6}</definedName>
    <definedName name="__sm_ZV_30aa598" localSheetId="49">{57.5;46.1;99.2;68.9;38.4;45.1}</definedName>
    <definedName name="__sm_ZV_30ab7d8" localSheetId="50">{1.06;0.28;1.08;1.53;0.95}</definedName>
    <definedName name="__sm_ZV_30ae010" localSheetId="52">{0.78;0.7;0.88;2.67;1.55;0.22}</definedName>
    <definedName name="cantoreggi_fig6" localSheetId="32">'cantoreggi'!$A$1:$B$13</definedName>
    <definedName name="clarke_1987_fig_4AMT" localSheetId="31">'clarke 1987'!$B$11:$C$19</definedName>
    <definedName name="clarke_1987_fig_4MTX" localSheetId="31">'clarke 1987'!$E$11:$F$19</definedName>
    <definedName name="inaba_1987_fig_2NDZ" localSheetId="24">'inaba 1988'!$D$8:$E$18</definedName>
    <definedName name="inaba_1987_fig_2TMZ" localSheetId="24">'inaba 1988'!$N$8:$O$18</definedName>
    <definedName name="komatsu_fig2" localSheetId="38">'komatsu 2001'!$C$14:$D$28</definedName>
    <definedName name="komatsu_fig2b" localSheetId="38">'komatsu 2001'!$P$14:$P$27</definedName>
    <definedName name="magdalou_1992_fig_5A" localSheetId="22">'magdalou 1992'!$E$8:$F$13</definedName>
    <definedName name="niwa_fig_1_age_and_gender_in_cytosol" localSheetId="37">'niwa 2005'!$A$1:$B$22</definedName>
    <definedName name="niwa_fig2" localSheetId="37">'niwa 2005'!$P$14:$Q$25</definedName>
    <definedName name="_xlnm.Print_Area" localSheetId="41">'Correlation 2'!$B:$I</definedName>
    <definedName name="_xlnm.Print_Area" localSheetId="51">'Correlation botsh'!$B:$I</definedName>
    <definedName name="_xlnm.Print_Area" localSheetId="52">'Correlation kumar 94'!$B:$I</definedName>
    <definedName name="_xlnm.Print_Area" localSheetId="50">'Correlation thummel 1994'!$B:$I</definedName>
    <definedName name="_xlnm.Print_Area" localSheetId="49">'Correlation Wu 1997'!$B:$I</definedName>
    <definedName name="_xlnm.Print_Area" localSheetId="48">'grace 1988Correlation '!$B:$I</definedName>
    <definedName name="_xlnm.Print_Area" localSheetId="43">'Keddaris 1993 Correlation 5'!$B:$I</definedName>
    <definedName name="_xlnm.Print_Area" localSheetId="46">'Kobayashi Correlation '!$B:$I</definedName>
    <definedName name="_xlnm.Print_Area" localSheetId="45">'Kohl 2000Correlation 6'!$B:$I</definedName>
    <definedName name="_xlnm.Print_Area" localSheetId="42">'Wandell Correllation'!$B:$I</definedName>
    <definedName name="_xlnm.Print_Area" localSheetId="47">'Yasui-Correlation '!$B:$I</definedName>
    <definedName name="_xlnm.Print_Area" localSheetId="44">'zhang 2002 Correlation 4'!$B:$I</definedName>
    <definedName name="_xlnm.Print_Titles" localSheetId="41">'Correlation 2'!$2:$7</definedName>
    <definedName name="_xlnm.Print_Titles" localSheetId="51">'Correlation botsh'!$2:$7</definedName>
    <definedName name="_xlnm.Print_Titles" localSheetId="52">'Correlation kumar 94'!$2:$7</definedName>
    <definedName name="_xlnm.Print_Titles" localSheetId="50">'Correlation thummel 1994'!$2:$7</definedName>
    <definedName name="_xlnm.Print_Titles" localSheetId="49">'Correlation Wu 1997'!$2:$7</definedName>
    <definedName name="_xlnm.Print_Titles" localSheetId="48">'grace 1988Correlation '!$2:$7</definedName>
    <definedName name="_xlnm.Print_Titles" localSheetId="43">'Keddaris 1993 Correlation 5'!$2:$7</definedName>
    <definedName name="_xlnm.Print_Titles" localSheetId="46">'Kobayashi Correlation '!$2:$7</definedName>
    <definedName name="_xlnm.Print_Titles" localSheetId="45">'Kohl 2000Correlation 6'!$2:$7</definedName>
    <definedName name="_xlnm.Print_Titles" localSheetId="42">'Wandell Correllation'!$2:$7</definedName>
    <definedName name="_xlnm.Print_Titles" localSheetId="47">'Yasui-Correlation '!$2:$7</definedName>
    <definedName name="_xlnm.Print_Titles" localSheetId="44">'zhang 2002 Correlation 4'!$2:$7</definedName>
    <definedName name="transon_1996_fig_1c" localSheetId="29">'transon 1996'!$D$15:$E$50</definedName>
    <definedName name="transon_1996_fig_1dmale" localSheetId="29">'transon 1996'!$N$16:$O$31</definedName>
    <definedName name="transon_1996_fig_2C" localSheetId="29">'transon 1996'!$X$16:$Y$46</definedName>
    <definedName name="transon_1996_fig_2Dfemale" localSheetId="29">'transon 1996'!$AF$14:$AG$19</definedName>
    <definedName name="transon_1996_fig_2Dmale" localSheetId="29">'transon 1996'!$AJ$14:$AK$34</definedName>
    <definedName name="transon_1996_fig_3C" localSheetId="29">'transon 1996'!$AO$14:$AP$49</definedName>
    <definedName name="transon_1996_fig_3Dfemale" localSheetId="29">'transon 1996'!$AU$14:$AV$20</definedName>
    <definedName name="transon_1996_fig_3Dmale" localSheetId="29">'transon 1996'!$AY$14:$AZ$32</definedName>
    <definedName name="ward_fig_5MI" localSheetId="35">'ward 2003'!$E$13:$E$23</definedName>
    <definedName name="ward_fig_5MIII" localSheetId="35">'ward 2003'!$J$13:$K$24</definedName>
    <definedName name="ward_fig_5MIMIII" localSheetId="35">'ward 2003'!$B$12:$B$23</definedName>
    <definedName name="Zhou_Pan_1993_fig_2" localSheetId="23">'zhou-pan 1993'!$E$10:$F$39</definedName>
  </definedNames>
  <calcPr fullCalcOnLoad="1"/>
</workbook>
</file>

<file path=xl/sharedStrings.xml><?xml version="1.0" encoding="utf-8"?>
<sst xmlns="http://schemas.openxmlformats.org/spreadsheetml/2006/main" count="5903" uniqueCount="1134">
  <si>
    <t>log GSD calculation method</t>
  </si>
  <si>
    <t>Km in uM = umol/L</t>
  </si>
  <si>
    <t>Vmax/Km (L/mg/hr)</t>
  </si>
  <si>
    <t>Vmax/Km (uL/mg/hr)</t>
  </si>
  <si>
    <t>kidney transplant patients, EM</t>
  </si>
  <si>
    <t>Vmax/ Km</t>
  </si>
  <si>
    <t>log Vmax/Km</t>
  </si>
  <si>
    <t>lognormal better</t>
  </si>
  <si>
    <t>tagufur, biotransformed to 5-fluorouracil</t>
  </si>
  <si>
    <t>1A2, 2A6 and  2C8 in HLM</t>
  </si>
  <si>
    <t>use numbers for microsomes only (major route, cytosol minor contribution )</t>
  </si>
  <si>
    <t>Figure 2 Using White Bars on graph</t>
  </si>
  <si>
    <t>HL-1</t>
  </si>
  <si>
    <t>HL-3</t>
  </si>
  <si>
    <t>HL-4</t>
  </si>
  <si>
    <t>HL-5</t>
  </si>
  <si>
    <t>HL-6</t>
  </si>
  <si>
    <t>HL-9</t>
  </si>
  <si>
    <t>HL-10</t>
  </si>
  <si>
    <t>HG23</t>
  </si>
  <si>
    <t>HG42</t>
  </si>
  <si>
    <t>HG56</t>
  </si>
  <si>
    <t>HG70</t>
  </si>
  <si>
    <t>HG89</t>
  </si>
  <si>
    <t>HG93</t>
  </si>
  <si>
    <t>HG HLM purchased from Gentest, HL HLM described elsewhere</t>
  </si>
  <si>
    <t>liver ID</t>
  </si>
  <si>
    <t>5-FU formation (pmol/min)</t>
  </si>
  <si>
    <t>B (1mM of tegafur)</t>
  </si>
  <si>
    <t>cytosolic thymidine phosphorylase (dThdPase) at high concentrations)</t>
  </si>
  <si>
    <t>HG3</t>
  </si>
  <si>
    <t>A (100 uM of tegafur)</t>
  </si>
  <si>
    <t>Komatsu T, Yamazaki H, Shimada N, Nagayama S, Kawaguchi Y, Nakajima M, Yokoi T. Involvement of microsomal cytochrome P450 and cytosolic thymidine phosphorylase in 5-fluorouracil formation from tegafur in human liver. Clin Cancer Res 7:675-81(2001).</t>
  </si>
  <si>
    <t>1A2, 2A6 and  2C8</t>
  </si>
  <si>
    <t>alpha-Fluoro-Beta-alanine formation (pmol/min/mg protein)</t>
  </si>
  <si>
    <t>5- Flurouracil metabolism in human liver cytosol</t>
  </si>
  <si>
    <t>MI and MIII</t>
  </si>
  <si>
    <t>8-hydroxyefavirenz and 8,14-dihydroxyefavirenz</t>
  </si>
  <si>
    <t>MI</t>
  </si>
  <si>
    <t>V (pmol/min/mg protein)</t>
  </si>
  <si>
    <t>V (pmol/min/ mg protein)</t>
  </si>
  <si>
    <t>8-hydroxyefavirenz</t>
  </si>
  <si>
    <t>MIII</t>
  </si>
  <si>
    <t>8,14-dihydroxyefavirenz</t>
  </si>
  <si>
    <t>nmol VF/hr-mg protein</t>
  </si>
  <si>
    <t>rats</t>
  </si>
  <si>
    <t>mice</t>
  </si>
  <si>
    <t>HBL14</t>
  </si>
  <si>
    <t>HBL16</t>
  </si>
  <si>
    <t>HBL17</t>
  </si>
  <si>
    <t>HBL20</t>
  </si>
  <si>
    <t>HBL21</t>
  </si>
  <si>
    <t>HHM50</t>
  </si>
  <si>
    <t>HHM57</t>
  </si>
  <si>
    <t>HHM58</t>
  </si>
  <si>
    <t>HHM80</t>
  </si>
  <si>
    <t>HHM52</t>
  </si>
  <si>
    <t>Reference</t>
  </si>
  <si>
    <t>File Location</t>
  </si>
  <si>
    <t>Activity Category</t>
  </si>
  <si>
    <t>Population</t>
  </si>
  <si>
    <t>Tissue</t>
  </si>
  <si>
    <t>Place of Chemical Exposure</t>
  </si>
  <si>
    <t>Activity Measured</t>
  </si>
  <si>
    <t>Log(GSD)</t>
  </si>
  <si>
    <t>Calculation Method</t>
  </si>
  <si>
    <t>Distribution Form</t>
  </si>
  <si>
    <t>N if different from population total</t>
  </si>
  <si>
    <t>Comment</t>
  </si>
  <si>
    <t>Reference Id #</t>
  </si>
  <si>
    <t>Guitton J, Buronfosse T, Desage M, Flinois JP, Perdrix JP, Brazier JL, Beaune P. Possible involvement of multiple human cytochrome P450 isoforms in the liver metabolism of propofol. Br J Anaesth 80:788-95(1998).</t>
  </si>
  <si>
    <t>propofol metabolism</t>
  </si>
  <si>
    <t>Human Liver Microsome</t>
  </si>
  <si>
    <t>In Vitro, inhibition assay</t>
  </si>
  <si>
    <t xml:space="preserve">10 uM propofol, 50 uM sulfaphenazole, </t>
  </si>
  <si>
    <t>CYP 2C9 , smaller amount, 2A6, 2C8, 2C18, 2C19 and 1A2</t>
  </si>
  <si>
    <t>major elimination pathway by conjugation (glucoronidation or sulphation): study to identify which CYP's responsible for for propofol hydroxylase.</t>
  </si>
  <si>
    <t>HL3</t>
  </si>
  <si>
    <t>HL4</t>
  </si>
  <si>
    <t>HL5</t>
  </si>
  <si>
    <t>HL7</t>
  </si>
  <si>
    <t>HL11</t>
  </si>
  <si>
    <t>% inhibition</t>
  </si>
  <si>
    <t>sorted % inhibition</t>
  </si>
  <si>
    <t>log % inh</t>
  </si>
  <si>
    <t>R Squared Value</t>
  </si>
  <si>
    <t>log normal</t>
  </si>
  <si>
    <t>table</t>
  </si>
  <si>
    <t>metabolism</t>
  </si>
  <si>
    <t>less 10 miutes from collection to lquid nitrogen storage</t>
  </si>
  <si>
    <t>caucation patiants undergoing partial hepatectomy, fresh, morphologically normal fragments, excluded acute or chronic hepatitis and cirrhosis</t>
  </si>
  <si>
    <t>individual and pooled microsomes were purchased, or details were otherwise supplied elsewhere</t>
  </si>
  <si>
    <t>Sample Storage Conditions</t>
  </si>
  <si>
    <t>2D6</t>
  </si>
  <si>
    <t>in vitro</t>
  </si>
  <si>
    <t>lognormal</t>
  </si>
  <si>
    <t>Km O-demethylation of p-methoxyamphetamine</t>
  </si>
  <si>
    <t>Vmax O-demethylation of p-methoxyamphetamine</t>
  </si>
  <si>
    <t>Ethylnylestadiol metabolism  male n=20, female n=15</t>
  </si>
  <si>
    <t>% Score</t>
  </si>
  <si>
    <t>sorted activity</t>
  </si>
  <si>
    <t>log activity</t>
  </si>
  <si>
    <t>HLM</t>
  </si>
  <si>
    <t>In Vitro</t>
  </si>
  <si>
    <t>CYP2C, CYP2E, CYP3A</t>
  </si>
  <si>
    <t>EE 2-Hydroxylation</t>
  </si>
  <si>
    <t>data thief, scatter plot</t>
  </si>
  <si>
    <t>normal</t>
  </si>
  <si>
    <t>20M &amp;15 F age 0-80</t>
  </si>
  <si>
    <t>3-glucuronidation in HLM</t>
  </si>
  <si>
    <t>Glucoronidation</t>
  </si>
  <si>
    <t>Sulfation</t>
  </si>
  <si>
    <t>EE 3-Sulfation</t>
  </si>
  <si>
    <t>Irbesartan oxidation</t>
  </si>
  <si>
    <t>7-ethoxyresorufin O-deethylase</t>
  </si>
  <si>
    <t>Phenacetin O-deethylase</t>
  </si>
  <si>
    <t>Coumarin 7-hydroxylase</t>
  </si>
  <si>
    <t>dextromethorphan O-demethylase</t>
  </si>
  <si>
    <t>Tolbutamide 4-methyl-hydroxylase</t>
  </si>
  <si>
    <t>Aniline 4-hydroxylase</t>
  </si>
  <si>
    <t>nifedipine dehyderogenase</t>
  </si>
  <si>
    <t>3A4</t>
  </si>
  <si>
    <t>pmol/mg microsomal protein</t>
  </si>
  <si>
    <t>Bourrie M, Meunier V, Berger Y, Fabre G. Role of cytochrome P-4502C9 in irbesartan oxidation by human liver microsomes. Drug Metab Dispos 27:288-96(1999).</t>
  </si>
  <si>
    <t>12 human liver microsomes, 7 M 4F 1 unk, ages 42-67</t>
  </si>
  <si>
    <t>IRB</t>
  </si>
  <si>
    <t>2C9</t>
  </si>
  <si>
    <t>7ER</t>
  </si>
  <si>
    <t>Pod</t>
  </si>
  <si>
    <t>COH</t>
  </si>
  <si>
    <t>DOD</t>
  </si>
  <si>
    <t>TOH</t>
  </si>
  <si>
    <t>AOH</t>
  </si>
  <si>
    <t>NDH</t>
  </si>
  <si>
    <t>Mean</t>
  </si>
  <si>
    <t>std dev</t>
  </si>
  <si>
    <t>n</t>
  </si>
  <si>
    <t>std error</t>
  </si>
  <si>
    <t>CV</t>
  </si>
  <si>
    <t>log( IRB)</t>
  </si>
  <si>
    <t>log(7-ER)</t>
  </si>
  <si>
    <t>log(POD)</t>
  </si>
  <si>
    <t>log(COH)</t>
  </si>
  <si>
    <t>log(DOD)</t>
  </si>
  <si>
    <t>log(TOH)</t>
  </si>
  <si>
    <t>log (AOH)</t>
  </si>
  <si>
    <t>log (NDH)</t>
  </si>
  <si>
    <t>%score</t>
  </si>
  <si>
    <t>z score</t>
  </si>
  <si>
    <t>SUMMARY OUTPUT</t>
  </si>
  <si>
    <t>Regression Statistics</t>
  </si>
  <si>
    <t>Multiple R</t>
  </si>
  <si>
    <t>R Square</t>
  </si>
  <si>
    <t>Adjusted R Square</t>
  </si>
  <si>
    <t>Standard Error</t>
  </si>
  <si>
    <t>Observations</t>
  </si>
  <si>
    <t>ANOVA</t>
  </si>
  <si>
    <t>Regression</t>
  </si>
  <si>
    <t>Residual</t>
  </si>
  <si>
    <t>Total</t>
  </si>
  <si>
    <t>Intercept</t>
  </si>
  <si>
    <t>df</t>
  </si>
  <si>
    <t>SS</t>
  </si>
  <si>
    <t>MS</t>
  </si>
  <si>
    <t>F</t>
  </si>
  <si>
    <t>Significance F</t>
  </si>
  <si>
    <t>Coefficients</t>
  </si>
  <si>
    <t>t Stat</t>
  </si>
  <si>
    <t>P-value</t>
  </si>
  <si>
    <t>Lower 95%</t>
  </si>
  <si>
    <t>Upper 95%</t>
  </si>
  <si>
    <t>Lower 95.0%</t>
  </si>
  <si>
    <t>Upper 95.0%</t>
  </si>
  <si>
    <t>X Variable 1</t>
  </si>
  <si>
    <t>Wu D, Otton SV, Inaba T, Kalow W, Sellers EM. Interactions of amphetamine analogs with human liver CYP2D6. Biochem Pharmacol 53:1605-12(1997).</t>
  </si>
  <si>
    <t>human livers obtained from kidney transplant patients</t>
  </si>
  <si>
    <t>BCA protein assay kit, standard microsome prep techniques</t>
  </si>
  <si>
    <t>liver</t>
  </si>
  <si>
    <t>k12</t>
  </si>
  <si>
    <t>k20</t>
  </si>
  <si>
    <t>k14</t>
  </si>
  <si>
    <t>k24</t>
  </si>
  <si>
    <t>k23</t>
  </si>
  <si>
    <t>Km (uM)</t>
  </si>
  <si>
    <t>Vmax nmol/mg/hr</t>
  </si>
  <si>
    <t xml:space="preserve">PMA O-demethylation in microsomes from 6 EM human livers </t>
  </si>
  <si>
    <t>2D6 Activity</t>
  </si>
  <si>
    <t>log km</t>
  </si>
  <si>
    <t>log Vmax</t>
  </si>
  <si>
    <t>%Score</t>
  </si>
  <si>
    <t>Z Score</t>
  </si>
  <si>
    <t>log Km</t>
  </si>
  <si>
    <t>age</t>
  </si>
  <si>
    <t>pmol/min/mgprotien</t>
  </si>
  <si>
    <t>pmol/min/mg protein</t>
  </si>
  <si>
    <t>Figure 2</t>
  </si>
  <si>
    <t>Figure 4</t>
  </si>
  <si>
    <t>Inhibitiom of ethynylestradiol 2-hydroxylation by I uM ketoconazole</t>
  </si>
  <si>
    <t>2-hydroxylation in HLM</t>
  </si>
  <si>
    <t>3-Sulfation in Human liver Cytosol</t>
  </si>
  <si>
    <t>pmol/mim/mg protein</t>
  </si>
  <si>
    <t>microsomal and cytosolic protein content assumedby the authors to be 21.4 and 59.9 mg/g organ respectively - yields not obtained for individual samples</t>
  </si>
  <si>
    <t>Shiraga T, Niwa T, Ohno Y, Kagayama A. Interindividual variability in 2-hydroxylation, 3-sulfation, and 3-glucuronidation of ethynylestradiol in human liver. Biol Pharm Bull 27:1900-6(2004).</t>
  </si>
  <si>
    <t>log/log</t>
  </si>
  <si>
    <t>log vmax/km</t>
  </si>
  <si>
    <t xml:space="preserve">EE2 2-hydroxylation (pmol/min/mg protein) </t>
  </si>
  <si>
    <t>Inhibition Rate %</t>
  </si>
  <si>
    <t>Ketoconazole inhibits metabolism by cyp 3A4 pathway</t>
  </si>
  <si>
    <t>frozen -70 at time of donation</t>
  </si>
  <si>
    <t>Liver cytosol</t>
  </si>
  <si>
    <t>GST, substrate CDNB = 1-chloro-2,4-dintrobenzene (nonspecific GST substrate)</t>
  </si>
  <si>
    <t xml:space="preserve">Truncated normal, </t>
  </si>
  <si>
    <t>GST µ</t>
  </si>
  <si>
    <t>18 Kidney donors, stored frozen as 1 inch cubes until prep time</t>
  </si>
  <si>
    <t>GST, substrate tPBO = trans-4-phenyl-3-buten-2-one (GST µ substrate)</t>
  </si>
  <si>
    <t>GST a</t>
  </si>
  <si>
    <t>19 Kidney donors, stored frozen as 1 inch cubes until prep time</t>
  </si>
  <si>
    <t>GST, substrate CHP = cumene hydroperoxide (alpha class GST substrate)</t>
  </si>
  <si>
    <t xml:space="preserve">Normal and lognormal equally good; </t>
  </si>
  <si>
    <t>GST π</t>
  </si>
  <si>
    <t>20 Kidney donors, stored frozen as 1 inch cubes until prep time</t>
  </si>
  <si>
    <t>GST, substrate EA = ethacrynic acid (pi class GST substrate)</t>
  </si>
  <si>
    <t>Truncated normal, slightly better than lognormal</t>
  </si>
  <si>
    <t>Temellini et al. (1991)</t>
  </si>
  <si>
    <t>96 women and 48 men undergoing laparotomy for hepatic surgery--not on chronic treatments known to induce liver enzymes</t>
  </si>
  <si>
    <t>frozen at -80 within 3 minutes of sampling</t>
  </si>
  <si>
    <t>Microsomal protein</t>
  </si>
  <si>
    <t>Glucuronyltransferase with ethinyloestradiol (EE2) as substrate pmol/min-mg protein; where microsomal protein was 21.4 ± 8.8 (SD) mg/g of wet liver.  No significant sex difference.</t>
  </si>
  <si>
    <t>Graphical--histogram analysis</t>
  </si>
  <si>
    <t xml:space="preserve">Liver cytosol </t>
  </si>
  <si>
    <t>Cytosol protein</t>
  </si>
  <si>
    <t>Sulfotransferase with ethinyloestradiol (EE2) as substrate pmol/min-mg protein where cytosolic protein was 59.9 ± 18.9 mg/g wet liver.  No significant sex difference.</t>
  </si>
  <si>
    <t xml:space="preserve">Normal </t>
  </si>
  <si>
    <t>10 liver transplant patients (new liver biopsy samples post operative day 10 - portion of needle biopsy core- live patients)</t>
  </si>
  <si>
    <t>Volkel W, Wolf N, Derelanko M, Dekant W. Slow oxidation of acetoxime and methylethyl ketoxime to the corresponding nitronates and hydroxy nitronates by liver microsomes from rats, mice, and humans. Toxicol Sci 47:144-50(1999).</t>
  </si>
  <si>
    <t>Liver tissue obtained from Keystone Skin Bank, PA the liver Bank in Kiel Germany and liver samples medically unsuitable for transplantatin from the Washington Regional Transplant Consortium</t>
  </si>
  <si>
    <t>Microsomes</t>
  </si>
  <si>
    <t>formation of butane 2-nitronate from MEKO</t>
  </si>
  <si>
    <t>P450 3A4--Total metabolism of midazolam (benzodiazepine tranquilizer) (sum of 1' and 4' hydroxylation</t>
  </si>
  <si>
    <t>datathief, plot and sum of activity values two metabolites</t>
  </si>
  <si>
    <t>P450 3A4--Total metabolism of triazolam (benzodiazepine tranquilizer) (sum of 1' and 4' hydroxylation</t>
  </si>
  <si>
    <t>Log bimodal</t>
  </si>
  <si>
    <t>Liu et al. (1991)</t>
  </si>
  <si>
    <t>GST</t>
  </si>
  <si>
    <t>Liver cancer patients, age 48-83, 10F 5M, 8 nonsmokers 6 former smokers 1 current smoker</t>
  </si>
  <si>
    <t>frozen immediately -80</t>
  </si>
  <si>
    <t>GT-BPO--glutathione transferase activity with the substrate benzo(a)pyrene-4,5 oxide</t>
  </si>
  <si>
    <t>Fig 3  datathief, bar graph</t>
  </si>
  <si>
    <t xml:space="preserve"> Normal </t>
  </si>
  <si>
    <t>.987 for normal</t>
  </si>
  <si>
    <t xml:space="preserve">frozen immediately -80 </t>
  </si>
  <si>
    <t>Liver Cytosol</t>
  </si>
  <si>
    <t>GT-CDNB--glutathione transferase activity with 1-chloro-2,4-dinitrobenzene as the substrate</t>
  </si>
  <si>
    <t>GT-tSBO--glutathione transferase activity with the substrate trans-stilbene oxide--marker for GST µ polymorphism</t>
  </si>
  <si>
    <t>Graphical</t>
  </si>
  <si>
    <t>Log Bimodal, truncated normal?</t>
  </si>
  <si>
    <t>R^2  Normal .89    lognormal .76</t>
  </si>
  <si>
    <t>Amino Acid Conj</t>
  </si>
  <si>
    <t>Olson and Surbrook (1991)</t>
  </si>
  <si>
    <t>PK in vitro</t>
  </si>
  <si>
    <t>10 male organ donors  (7 trauma, 2 subarachnoid hemorrhage, 1 heart attack) age 25-50.</t>
  </si>
  <si>
    <t>liver shipped frozen at -70</t>
  </si>
  <si>
    <t>nmol Fluoride release from 1,1,1,2-tetrafluoroethane/15 min-mg protein--thought to be medaiated by P450 IIE1</t>
  </si>
  <si>
    <t>hydroxylation of 4-nitrocatechol/15 min-mg protein--mediated by P450 IIE1</t>
  </si>
  <si>
    <t>Lognormal, normal equal--neither very good</t>
  </si>
  <si>
    <t>Pearce, 1996</t>
  </si>
  <si>
    <t>CYP 1A2</t>
  </si>
  <si>
    <t>10 Liver donors</t>
  </si>
  <si>
    <t>CYP4A9</t>
  </si>
  <si>
    <t>Rodrigues, A. D., M. J. Kukulka, et al. (1996). "[O-Methyl 14C]Naproxen O-Demethylase Activity In Human Liver Microsomes." Drug Metabolism and Disposition 24: 126-135.</t>
  </si>
  <si>
    <t>Seaton et al. (1994)</t>
  </si>
  <si>
    <t>Trauma victims, N = 10</t>
  </si>
  <si>
    <t>P450 2E1--p-nitrophenol hydroxylation--indicator of benzene metabolism</t>
  </si>
  <si>
    <t>10, all caucasian, 7 male  Tennessee Donor Services (7) and International Institure for the Advancement of Medicine (3) All liver donors</t>
  </si>
  <si>
    <t>20M &amp;15 F age 0-80 purchased BD Gentest</t>
  </si>
  <si>
    <t>Takamatsu and Inaba (1994)</t>
  </si>
  <si>
    <t xml:space="preserve">GST </t>
  </si>
  <si>
    <t>17 Kidney donors, stored frozen as 1 inch cubes until prep time</t>
  </si>
  <si>
    <t>Data</t>
  </si>
  <si>
    <t>CYGL</t>
  </si>
  <si>
    <t>CYMP</t>
  </si>
  <si>
    <t>MPGL</t>
  </si>
  <si>
    <t>OXMP</t>
  </si>
  <si>
    <t>OXHC</t>
  </si>
  <si>
    <t>HCGL</t>
  </si>
  <si>
    <t>Sample Number</t>
  </si>
  <si>
    <t>ppm headspace</t>
  </si>
  <si>
    <t>pmol CYP2E1 per g liver</t>
  </si>
  <si>
    <t>pmol CYP2E1 per mg MSP</t>
  </si>
  <si>
    <t>mg MSP per g liver</t>
  </si>
  <si>
    <t>pmol TCE oxidized to CH+TCOH+TCA per min per mg MSP</t>
  </si>
  <si>
    <t>pmol TCE oxidized to CH+TCOH+ TCA per min per million hepatocytes</t>
  </si>
  <si>
    <t>Million hepatocytes per g liver</t>
  </si>
  <si>
    <t>Dataset 1</t>
  </si>
  <si>
    <t>MSP</t>
  </si>
  <si>
    <t>Dataset 2</t>
  </si>
  <si>
    <t>Dataset 3</t>
  </si>
  <si>
    <t>Dataset 4</t>
  </si>
  <si>
    <t>Dataset 5</t>
  </si>
  <si>
    <t>hepatocytes</t>
  </si>
  <si>
    <t>Dataset 6</t>
  </si>
  <si>
    <t>sheet from weish</t>
  </si>
  <si>
    <t>lipscomb 1997</t>
  </si>
  <si>
    <t>sample</t>
  </si>
  <si>
    <t>Km um TRI</t>
  </si>
  <si>
    <t>Vmax pmol/mim/mg</t>
  </si>
  <si>
    <t>46 C F</t>
  </si>
  <si>
    <t>35 C F</t>
  </si>
  <si>
    <t>55 C F</t>
  </si>
  <si>
    <t>55 A F</t>
  </si>
  <si>
    <t>22 H F</t>
  </si>
  <si>
    <t>52 C M</t>
  </si>
  <si>
    <t>43 C M</t>
  </si>
  <si>
    <t>36 C M</t>
  </si>
  <si>
    <t>50 C F</t>
  </si>
  <si>
    <t>46 H M</t>
  </si>
  <si>
    <t>60 C F</t>
  </si>
  <si>
    <t>25 C M</t>
  </si>
  <si>
    <t>38 C M</t>
  </si>
  <si>
    <t>24 H M</t>
  </si>
  <si>
    <t>43 H M</t>
  </si>
  <si>
    <t>51 C M</t>
  </si>
  <si>
    <t>24 C M</t>
  </si>
  <si>
    <t>47 C M</t>
  </si>
  <si>
    <t>60 C M</t>
  </si>
  <si>
    <t>55 C M</t>
  </si>
  <si>
    <t>40 C M</t>
  </si>
  <si>
    <t>63 P F</t>
  </si>
  <si>
    <t>log Vmax/log Km</t>
  </si>
  <si>
    <t>sdev</t>
  </si>
  <si>
    <t>Lipscomb, J. C., C. M. Garrett, et al. (1997). "Cytochrome P450-dependent metabolism of trichloroethylene: interindividual differences in humans." Toxicol Appl Pharmacol 142(2): 311-8.</t>
  </si>
  <si>
    <t>CYP2E1</t>
  </si>
  <si>
    <t>PHASE 1</t>
  </si>
  <si>
    <t>23, mixed race ages 24-63</t>
  </si>
  <si>
    <t>Trichloroethylene metabolism</t>
  </si>
  <si>
    <t>Clint</t>
  </si>
  <si>
    <t>Dist</t>
  </si>
  <si>
    <t>Rsq</t>
  </si>
  <si>
    <t>Bargetzi et al. (1989)</t>
  </si>
  <si>
    <t>Specific P450s</t>
  </si>
  <si>
    <t>13 Kidney transplant donors</t>
  </si>
  <si>
    <t>In vitro, 5 mmol of lidocaine</t>
  </si>
  <si>
    <t>P450 3A4--Deethylation of lidocaine to MEGX (primary in vivo metabolite)( nmoles MEGX/ (mg x h))</t>
  </si>
  <si>
    <t>datathief, bar graph</t>
  </si>
  <si>
    <t>Analytical</t>
  </si>
  <si>
    <t>Lognormal</t>
  </si>
  <si>
    <t>Boogaard, P. J., S. C.-J. Summer, et al. (1995). "Glutathione Conjugation of 1,2,3,4-Diepoxybutane in Human Liver and Rat and Mouse Liver and Lung in Vitro." Toxicology and Applied Pharmacology 136: 307-316.</t>
  </si>
  <si>
    <t>GSTT1</t>
  </si>
  <si>
    <t>6 liver donors</t>
  </si>
  <si>
    <t>international institute for the advancement of medicine</t>
  </si>
  <si>
    <t>Cytosol</t>
  </si>
  <si>
    <t>conj of 1,2,3,4-diepoxybutane with glutathione</t>
  </si>
  <si>
    <t>12 human liver microsomes, 7 M 4F 1 unk, ages 42-67, secondary hepatic tumors</t>
  </si>
  <si>
    <t xml:space="preserve">CYP 1A1/2  </t>
  </si>
  <si>
    <t>FPGS</t>
  </si>
  <si>
    <t>Garcia-Agundez et al. (1990)</t>
  </si>
  <si>
    <t>31 Patients without liver disease who underwent laparotomy for other diseases (e.g. cholethiasis without cholestasis, nonhepatic abdominal tumors, peritonitis), 22 F 9 M, age 23-83.</t>
  </si>
  <si>
    <t>frozen at -80 within 2 minutes of biopsy</t>
  </si>
  <si>
    <t>In vitro</t>
  </si>
  <si>
    <t>Aminopyrine N-demethylase (nmol/min-mg protein)</t>
  </si>
  <si>
    <t>Km umol/L Aminopyrine N-demethylase</t>
  </si>
  <si>
    <t>table 3</t>
  </si>
  <si>
    <t>Vmax (nmol/min/mg) Aminopyrine N-demethylase</t>
  </si>
  <si>
    <t xml:space="preserve">Vmax/ Km (L/min/mg) Aminopyrine N-demethylase </t>
  </si>
  <si>
    <t>Gunawardhana et al. (1991)</t>
  </si>
  <si>
    <t>Detox</t>
  </si>
  <si>
    <t>Acetylation</t>
  </si>
  <si>
    <t>6 Liver organ donors (Arizona organ bank) total time of transit from death less than 6 hours, age 5-38 years</t>
  </si>
  <si>
    <t>Less than 6 hours, but acceptable for transplantation</t>
  </si>
  <si>
    <t>Liver Slices</t>
  </si>
  <si>
    <t>Acetylation of sulfamethazine (nmol/hr-mg protein)</t>
  </si>
  <si>
    <t>10 human liver microsome samples obtained from japanese patients undergoing partial hepatectomy for treatment of metastatic tumors and the division of general Surgery</t>
  </si>
  <si>
    <t>Kronbach et al. (1989)</t>
  </si>
  <si>
    <t>15 Kidney transplant donors</t>
  </si>
  <si>
    <t>no details</t>
  </si>
  <si>
    <t>number</t>
  </si>
  <si>
    <r>
      <t> Km - mM</t>
    </r>
    <r>
      <rPr>
        <sz val="9"/>
        <color indexed="9"/>
        <rFont val="Symbol"/>
        <family val="1"/>
      </rPr>
      <t xml:space="preserve">  ¹  </t>
    </r>
    <r>
      <rPr>
        <sz val="9"/>
        <color indexed="9"/>
        <rFont val="Arial"/>
        <family val="0"/>
      </rPr>
      <t>Vmax - nmol/min/ mg protein</t>
    </r>
  </si>
  <si>
    <r>
      <t> Km - uM</t>
    </r>
    <r>
      <rPr>
        <sz val="9"/>
        <color indexed="9"/>
        <rFont val="Symbol"/>
        <family val="1"/>
      </rPr>
      <t xml:space="preserve">  ¹  </t>
    </r>
    <r>
      <rPr>
        <sz val="9"/>
        <color indexed="9"/>
        <rFont val="Arial"/>
        <family val="0"/>
      </rPr>
      <t>Vmax - nmol/mg/min</t>
    </r>
  </si>
  <si>
    <r>
      <t> Km - uM</t>
    </r>
    <r>
      <rPr>
        <sz val="9"/>
        <color indexed="9"/>
        <rFont val="Symbol"/>
        <family val="1"/>
      </rPr>
      <t xml:space="preserve">  ¹  </t>
    </r>
    <r>
      <rPr>
        <sz val="9"/>
        <color indexed="9"/>
        <rFont val="Arial"/>
        <family val="0"/>
      </rPr>
      <t>Vmax - pmol/min mg</t>
    </r>
  </si>
  <si>
    <r>
      <t> Km - uM</t>
    </r>
    <r>
      <rPr>
        <sz val="9"/>
        <color indexed="9"/>
        <rFont val="Symbol"/>
        <family val="1"/>
      </rPr>
      <t xml:space="preserve">  ¹  </t>
    </r>
    <r>
      <rPr>
        <sz val="9"/>
        <color indexed="9"/>
        <rFont val="Arial"/>
        <family val="0"/>
      </rPr>
      <t>Vmax - nmol/min/mg of protein</t>
    </r>
  </si>
  <si>
    <r>
      <t> Km uM</t>
    </r>
    <r>
      <rPr>
        <sz val="9"/>
        <color indexed="9"/>
        <rFont val="Symbol"/>
        <family val="1"/>
      </rPr>
      <t xml:space="preserve">  ¹  </t>
    </r>
    <r>
      <rPr>
        <sz val="9"/>
        <color indexed="9"/>
        <rFont val="Arial"/>
        <family val="0"/>
      </rPr>
      <t>Vmax metabolite/min/mg protein</t>
    </r>
  </si>
  <si>
    <r>
      <t> Km [AE]</t>
    </r>
    <r>
      <rPr>
        <sz val="9"/>
        <color indexed="9"/>
        <rFont val="Symbol"/>
        <family val="1"/>
      </rPr>
      <t xml:space="preserve">  ¹  </t>
    </r>
    <r>
      <rPr>
        <sz val="9"/>
        <color indexed="9"/>
        <rFont val="Arial"/>
        <family val="0"/>
      </rPr>
      <t>Vmax</t>
    </r>
  </si>
  <si>
    <r>
      <t> Km (uM)</t>
    </r>
    <r>
      <rPr>
        <sz val="9"/>
        <color indexed="9"/>
        <rFont val="Symbol"/>
        <family val="1"/>
      </rPr>
      <t xml:space="preserve">  ¹  </t>
    </r>
    <r>
      <rPr>
        <sz val="9"/>
        <color indexed="9"/>
        <rFont val="Arial"/>
        <family val="0"/>
      </rPr>
      <t>Vmax nmol/mg/hr</t>
    </r>
  </si>
  <si>
    <t>Number</t>
  </si>
  <si>
    <r>
      <t> Km - uM</t>
    </r>
    <r>
      <rPr>
        <sz val="9"/>
        <color indexed="9"/>
        <rFont val="Symbol"/>
        <family val="1"/>
      </rPr>
      <t xml:space="preserve">  ¹  </t>
    </r>
    <r>
      <rPr>
        <sz val="9"/>
        <color indexed="9"/>
        <rFont val="Arial"/>
        <family val="0"/>
      </rPr>
      <t>Vmax (S-13) - umol/min/mg</t>
    </r>
  </si>
  <si>
    <t> (cases excluded: 13 due to missing values)</t>
  </si>
  <si>
    <r>
      <t> Km - uM</t>
    </r>
    <r>
      <rPr>
        <sz val="9"/>
        <color indexed="9"/>
        <rFont val="Symbol"/>
        <family val="1"/>
      </rPr>
      <t xml:space="preserve">  ¹  </t>
    </r>
    <r>
      <rPr>
        <sz val="9"/>
        <color indexed="9"/>
        <rFont val="Arial"/>
        <family val="0"/>
      </rPr>
      <t>Vmax - pmol/mg protein/ min</t>
    </r>
  </si>
  <si>
    <t> taxol 6-alpha-hydroxylation</t>
  </si>
  <si>
    <r>
      <t> Km - uM</t>
    </r>
    <r>
      <rPr>
        <sz val="9"/>
        <color indexed="9"/>
        <rFont val="Symbol"/>
        <family val="1"/>
      </rPr>
      <t xml:space="preserve">  ¹  </t>
    </r>
    <r>
      <rPr>
        <sz val="9"/>
        <color indexed="9"/>
        <rFont val="Arial"/>
        <family val="0"/>
      </rPr>
      <t>Vmax - nmol/hr/mg protein</t>
    </r>
  </si>
  <si>
    <t>Study</t>
  </si>
  <si>
    <t>Mean Km</t>
  </si>
  <si>
    <t>Mean Vmax</t>
  </si>
  <si>
    <t>95% CI  lower</t>
  </si>
  <si>
    <t>95% CI  upper</t>
  </si>
  <si>
    <t xml:space="preserve">Pearson Correlation Coefficient r statistic </t>
  </si>
  <si>
    <t>Pearson Km Vmax</t>
  </si>
  <si>
    <t>pearson</t>
  </si>
  <si>
    <t>Scale</t>
  </si>
  <si>
    <t>Normal</t>
  </si>
  <si>
    <t>metabolite/min/mg protein</t>
  </si>
  <si>
    <t>parameter estimation</t>
  </si>
  <si>
    <t>Predicted Geometric Mean</t>
  </si>
  <si>
    <t>126-36</t>
  </si>
  <si>
    <t>Km1</t>
  </si>
  <si>
    <t>Vmax1</t>
  </si>
  <si>
    <t>Vmax/Km1</t>
  </si>
  <si>
    <t>FIW</t>
  </si>
  <si>
    <t>HF1</t>
  </si>
  <si>
    <t>HGD</t>
  </si>
  <si>
    <t>GEQ</t>
  </si>
  <si>
    <t>FBI</t>
  </si>
  <si>
    <t>sd</t>
  </si>
  <si>
    <t>cv</t>
  </si>
  <si>
    <t>have paper</t>
  </si>
  <si>
    <t>Year</t>
  </si>
  <si>
    <t>YCAT</t>
  </si>
  <si>
    <t>Enzyme</t>
  </si>
  <si>
    <t>Phase</t>
  </si>
  <si>
    <t>Liver_COND</t>
  </si>
  <si>
    <t>Parameter</t>
  </si>
  <si>
    <t>LGSD</t>
  </si>
  <si>
    <t>LGSD2</t>
  </si>
  <si>
    <t>CV2</t>
  </si>
  <si>
    <t>NewN</t>
  </si>
  <si>
    <t>(N-1)*LogGSD2</t>
  </si>
  <si>
    <t>numerator</t>
  </si>
  <si>
    <t>denom</t>
  </si>
  <si>
    <t>quot</t>
  </si>
  <si>
    <t>sqrt</t>
  </si>
  <si>
    <t>total N</t>
  </si>
  <si>
    <t xml:space="preserve">Rodriques AD et. Al, 1996 </t>
  </si>
  <si>
    <t>CYP Mixed</t>
  </si>
  <si>
    <t>Phase I</t>
  </si>
  <si>
    <t>transplant quality liver tissue from international institute for the advancement of medicine, transported in belzer's solution</t>
  </si>
  <si>
    <t>fresh, 24 hours cold transport</t>
  </si>
  <si>
    <t>y</t>
  </si>
  <si>
    <t>[O-methyl 14C]-naproxen-o-Demethylase activity</t>
  </si>
  <si>
    <t>Rodriques AD et. al, 1996. [O-Methyl 14C]  O-Demethylase Activity in Human Liver Microsomes</t>
  </si>
  <si>
    <t>Baker, M. T., M. J. Olson, et al. (1995). "IsoFlurane-Chlorodifluoroethene Interactionin Human Liver Microsomes." Drug Metabolism and Disposition 23(1): 60-64.</t>
  </si>
  <si>
    <t>CYP 1A1/2</t>
  </si>
  <si>
    <t>10 organ donors Stanford Research Institure</t>
  </si>
  <si>
    <t>frozen</t>
  </si>
  <si>
    <t>Phenacetin</t>
  </si>
  <si>
    <t>Coumarin</t>
  </si>
  <si>
    <t>7-ethoxycoumarin</t>
  </si>
  <si>
    <t>chloroxazone</t>
  </si>
  <si>
    <t>nifedipine</t>
  </si>
  <si>
    <t>log transformed</t>
  </si>
  <si>
    <t>Lash, L. H., J. C. Lipscomb, et al. (1999). "Glutathione Conjugation of Trichloroethene in Human Liver and Kidney: Kinetics and Individual Variation." Drug Metabolism and Disposition 27(3): 351-359.</t>
  </si>
  <si>
    <t>Phase II</t>
  </si>
  <si>
    <t>3A4 and 1A2</t>
  </si>
  <si>
    <t>Komatsu T, Yamazaki H, Shimada N, Nagayama S, Kawaguchi Y, Nakajima M, Yokoi T. Involvement of microsomal cytochrome P450 and liver cytosolic thymidine phosphorylase in 5-fluorouracil formation from tegafur in human liver. Clin Cancer Res 7:675-81(2001).</t>
  </si>
  <si>
    <t>Niwa T, Shiraga T, Ohno Y, Kagayama A. Interindividual variability in 5-Fluorouracil metabolism and procainamide N-acetylation in human liver liver cytosol. Biol Pharm Bull 28:1071-4(2005).</t>
  </si>
  <si>
    <t>Human liver liver cytosol prepared from 12 individuals  obtained from gentest and 9 described elsewhere</t>
  </si>
  <si>
    <t xml:space="preserve"> liver cytosol </t>
  </si>
  <si>
    <t>male only</t>
  </si>
  <si>
    <t>Scaled to liver (average Values)</t>
  </si>
  <si>
    <t>microsomal protein</t>
  </si>
  <si>
    <t>cytosol protein</t>
  </si>
  <si>
    <t>S9 protein</t>
  </si>
  <si>
    <t>S-13 protein</t>
  </si>
  <si>
    <t>Value Expressed per unit (Km moles/L)</t>
  </si>
  <si>
    <t>Vmax (back calculated to mg microsomal protein)</t>
  </si>
  <si>
    <t>nmol/mg microsomal protein/min</t>
  </si>
  <si>
    <t>l</t>
  </si>
  <si>
    <t>na</t>
  </si>
  <si>
    <t>kept on ice up to 20 minutes then frozen at -70 degrees</t>
  </si>
  <si>
    <t>16 liver resection patients, ages 36-69 all caucasian, several cancer patients macroscopically normal area of liver tissue used for study Patients given preeoperative drugs excluded</t>
  </si>
  <si>
    <t>alpha hydroxylation of midazolam</t>
  </si>
  <si>
    <t>microsomal protien</t>
  </si>
  <si>
    <t>Wandel C, Bocker RH, Bohrer H, deVries JX, Hofmann W, Walter K, Kleingeist B, Neff S, Ding R, Walter-Sack I, Martin E. Relationship between hepatic cytochrome P450 3A content and activity and the disposition of midazolam administered orally. Drug Metab Dispos 26:110-4(1998).</t>
  </si>
  <si>
    <t>Enzyme Class</t>
  </si>
  <si>
    <t>Phase 1</t>
  </si>
  <si>
    <t>Phase 2</t>
  </si>
  <si>
    <t>CYP 2D6, EM</t>
  </si>
  <si>
    <t>CYP 3A, not 3A4 specific</t>
  </si>
  <si>
    <t>CYP 1A2, 2A6 and  2C8</t>
  </si>
  <si>
    <t>CYP 2B6</t>
  </si>
  <si>
    <t>Phase1</t>
  </si>
  <si>
    <t>analysed with: Analyse-it + General 1.73 </t>
  </si>
  <si>
    <t xml:space="preserve">Test </t>
  </si>
  <si>
    <t> Pearson correlation</t>
  </si>
  <si>
    <t> </t>
  </si>
  <si>
    <t xml:space="preserve">Alternative hypothesis </t>
  </si>
  <si>
    <t xml:space="preserve">Performed by </t>
  </si>
  <si>
    <t> Meghan</t>
  </si>
  <si>
    <t xml:space="preserve">Date </t>
  </si>
  <si>
    <t xml:space="preserve">n </t>
  </si>
  <si>
    <t> (cases excluded: 1 due to missing values)</t>
  </si>
  <si>
    <t xml:space="preserve">r statistic </t>
  </si>
  <si>
    <t>95% CI </t>
  </si>
  <si>
    <t>2-tailed p </t>
  </si>
  <si>
    <t> (t approximation)</t>
  </si>
  <si>
    <r>
      <t> Norcaine N-Hydroxylation: R2</t>
    </r>
    <r>
      <rPr>
        <sz val="9"/>
        <color indexed="9"/>
        <rFont val="Symbol"/>
        <family val="1"/>
      </rPr>
      <t xml:space="preserve">  ¹  </t>
    </r>
    <r>
      <rPr>
        <sz val="9"/>
        <color indexed="9"/>
        <rFont val="Arial"/>
        <family val="0"/>
      </rPr>
      <t>R1</t>
    </r>
  </si>
  <si>
    <t> (cases excluded: 2 due to missing values)</t>
  </si>
  <si>
    <r>
      <t> Apparent Km Alpha-hydrox of Midazolam</t>
    </r>
    <r>
      <rPr>
        <sz val="9"/>
        <color indexed="9"/>
        <rFont val="Symbol"/>
        <family val="1"/>
      </rPr>
      <t xml:space="preserve">  ¹  </t>
    </r>
    <r>
      <rPr>
        <sz val="9"/>
        <color indexed="9"/>
        <rFont val="Arial"/>
        <family val="0"/>
      </rPr>
      <t>Apparent Vmax Alpha-hydrox of Midazolam</t>
    </r>
  </si>
  <si>
    <t xml:space="preserve">Km (-) 9-Hydroxylaton risperidone </t>
  </si>
  <si>
    <t xml:space="preserve">Vmax (-) 9-Hydroxylaton risperidone </t>
  </si>
  <si>
    <t xml:space="preserve">Vmax/ Km (-) 9-Hydroxylaton risperidone </t>
  </si>
  <si>
    <t>Hl-47</t>
  </si>
  <si>
    <t>HL-49</t>
  </si>
  <si>
    <t>HL-51</t>
  </si>
  <si>
    <t>HL-54</t>
  </si>
  <si>
    <t>HL-55</t>
  </si>
  <si>
    <t>HL-67</t>
  </si>
  <si>
    <t>Km uM</t>
  </si>
  <si>
    <t>Vmax metabolite/min/mg protein</t>
  </si>
  <si>
    <t>Vmax/Km ul/min/mg protein</t>
  </si>
  <si>
    <t>mon</t>
  </si>
  <si>
    <t>Grace, J. M., A. J. Aguilar, et al. (1998). "Metabolism of  B-Arteether to Dihydroqinghaosu by Human Liver Microsomes and Recombinant Cytochrome P450." Drug Metabolism and Disposition 26(4): 313-317.</t>
  </si>
  <si>
    <t>12A</t>
  </si>
  <si>
    <t>Km [AE]</t>
  </si>
  <si>
    <t>nmol DQHS/min/mg protein</t>
  </si>
  <si>
    <t>L/min</t>
  </si>
  <si>
    <t xml:space="preserve">Beta-Arteether (AE) antimalarial </t>
  </si>
  <si>
    <t>CYP 3A4 Major 2B6 and 3A5 minor</t>
  </si>
  <si>
    <t>5,7,12 microsomes prepared from liver  donors (Washington Regional Transplant Consortium) 12A, 13,16,17,18 HLM obtained commertially from Human Biologicals Internationals</t>
  </si>
  <si>
    <t>Vmax nmal DQHS/min/mg protein</t>
  </si>
  <si>
    <t>Cl iint AE O-deethylation</t>
  </si>
  <si>
    <t>Km Arteether O-deethylation</t>
  </si>
  <si>
    <t>Vmax nmol DQHS/min/mg protein</t>
  </si>
  <si>
    <t>Cl int AE O-deethylation</t>
  </si>
  <si>
    <t>Fisher, M. B., M. VandenBranden, et al. (2000). "Tissue distribution and interindividual variation in human UDP-glucuronosyltransferase activity; relationship between UGT1A1 promoter genotype and variability in liver bank." Pharmacogenetics 10: 727-739.</t>
  </si>
  <si>
    <t>20 livers from the liver transplant unit at the Medical College of Wisconsin</t>
  </si>
  <si>
    <t>oestradiol glucuronidation</t>
  </si>
  <si>
    <t>morphine glucuronidation</t>
  </si>
  <si>
    <t>acetaminophen glucuronidation</t>
  </si>
  <si>
    <t>genotype of UGT1A1 promoter</t>
  </si>
  <si>
    <t>A</t>
  </si>
  <si>
    <t>B</t>
  </si>
  <si>
    <t>C</t>
  </si>
  <si>
    <t>D</t>
  </si>
  <si>
    <t>E</t>
  </si>
  <si>
    <t>G</t>
  </si>
  <si>
    <t>H</t>
  </si>
  <si>
    <t>I</t>
  </si>
  <si>
    <t>J</t>
  </si>
  <si>
    <t>K</t>
  </si>
  <si>
    <t>L</t>
  </si>
  <si>
    <t>N</t>
  </si>
  <si>
    <t>O</t>
  </si>
  <si>
    <t>P</t>
  </si>
  <si>
    <t>Q</t>
  </si>
  <si>
    <t>R</t>
  </si>
  <si>
    <t>S</t>
  </si>
  <si>
    <t>T</t>
  </si>
  <si>
    <t>Genotype</t>
  </si>
  <si>
    <t>E3G genotype of UGT1A1 Promoter expressed as # of TA repeats 6/6 wildtype</t>
  </si>
  <si>
    <t>E17G</t>
  </si>
  <si>
    <t>M3G</t>
  </si>
  <si>
    <t>APAPG</t>
  </si>
  <si>
    <t>6 6</t>
  </si>
  <si>
    <t xml:space="preserve">6 6 </t>
  </si>
  <si>
    <t>7  7</t>
  </si>
  <si>
    <t>6 7</t>
  </si>
  <si>
    <t>Not determ</t>
  </si>
  <si>
    <t>7 7</t>
  </si>
  <si>
    <t>5 7</t>
  </si>
  <si>
    <t>log E17G</t>
  </si>
  <si>
    <t>log M3G</t>
  </si>
  <si>
    <t>log APAPG</t>
  </si>
  <si>
    <t>UGT 1A1</t>
  </si>
  <si>
    <t>rate formation 1'-hydroxymethyleugenol</t>
  </si>
  <si>
    <t>Parameter measured</t>
  </si>
  <si>
    <t>Activity</t>
  </si>
  <si>
    <t>Vmax/Km (S-13)</t>
  </si>
  <si>
    <t>same data as</t>
  </si>
  <si>
    <t>log Vmax/km (S-13)</t>
  </si>
  <si>
    <t>Vmax/Km S-13 MDZ Formation</t>
  </si>
  <si>
    <t>Tegufur 5-FU Formation 100 uM Tegafur</t>
  </si>
  <si>
    <t>liver cytosol</t>
  </si>
  <si>
    <t>Six liver donors, tissue health but unsuitable for transplantation, provided by the International Institute for the advancement of Medicine</t>
  </si>
  <si>
    <t>unknown</t>
  </si>
  <si>
    <t>liver donor</t>
  </si>
  <si>
    <t>pmol/min mg</t>
  </si>
  <si>
    <t>Cli nt</t>
  </si>
  <si>
    <t>ul/min mg  of protein</t>
  </si>
  <si>
    <t>Ki Lornoxicam</t>
  </si>
  <si>
    <t>Not Inh 10-100uM</t>
  </si>
  <si>
    <t>Km metabolism of rac-acenocoumarol</t>
  </si>
  <si>
    <t>Vmax metabolism of rac-acenocoumarol</t>
  </si>
  <si>
    <t>CL int metabolism of rac-acenocoumarol</t>
  </si>
  <si>
    <t>Zhang, Z., M. J. Fasco, et al. (1995). "Human Cytochromes P4501A1 and P450 1A2: R-Warfarin Metabolism as a probe." Drug Metabolism and Disposition 23(12): 1339-1344.</t>
  </si>
  <si>
    <t>CYP 1A1 and 1A2</t>
  </si>
  <si>
    <t>R-warfarin 6-OH</t>
  </si>
  <si>
    <t>HBI2</t>
  </si>
  <si>
    <t>HBI3</t>
  </si>
  <si>
    <t>HBI5</t>
  </si>
  <si>
    <t>HBI6</t>
  </si>
  <si>
    <t>HBI7</t>
  </si>
  <si>
    <t>HBI9</t>
  </si>
  <si>
    <t>HBI10</t>
  </si>
  <si>
    <t>HBI11</t>
  </si>
  <si>
    <t>HBI12</t>
  </si>
  <si>
    <t>HBI13</t>
  </si>
  <si>
    <t>Liver Microsome</t>
  </si>
  <si>
    <t>6-0H Rate of formation pmol/min/mg protein</t>
  </si>
  <si>
    <t>log rate</t>
  </si>
  <si>
    <t>p450 1A2</t>
  </si>
  <si>
    <t>p450 1A1</t>
  </si>
  <si>
    <t>km mM</t>
  </si>
  <si>
    <t>Vmax (pmol/min/nmol pp450</t>
  </si>
  <si>
    <t>reconstituted system</t>
  </si>
  <si>
    <t>HLM purchased from Human Biologicals Inc</t>
  </si>
  <si>
    <t>lognormal slightly better</t>
  </si>
  <si>
    <t xml:space="preserve">normal </t>
  </si>
  <si>
    <t xml:space="preserve">lognormal </t>
  </si>
  <si>
    <t>control 10</t>
  </si>
  <si>
    <t>control 4</t>
  </si>
  <si>
    <t>Kobayashi, K., T. Yamamoto, et al. (1998). "Short Communication; Human Buprenorphine N-Dealkylation is Catalyzed by Cytochrome P450 3A4." Drug Metabolism and Disposition 26(8): 818-821.</t>
  </si>
  <si>
    <t>10 human liver microsome samples obtained from hapanese patients undergoing partial hepatectomy for treatment of metastatic tumors and the division of general Surgery</t>
  </si>
  <si>
    <t>Chiba 1993</t>
  </si>
  <si>
    <t>Km Buprenorphine N-Dealkylation</t>
  </si>
  <si>
    <t>Vmax Buprenorphine N-Dealkylation</t>
  </si>
  <si>
    <t>Vmax/ Km Buprenorphine N-Dealkylation</t>
  </si>
  <si>
    <t>Microsome</t>
  </si>
  <si>
    <t>nmol/min/mg of protein</t>
  </si>
  <si>
    <t>ul/min/mg of protein</t>
  </si>
  <si>
    <t>HL31</t>
  </si>
  <si>
    <t>HL32</t>
  </si>
  <si>
    <t>table 1</t>
  </si>
  <si>
    <t>Yasui-Furukori, N., M. Hidestrand, et al. (2001). "Different Enantioselective 9-Hydroxylation of Risperidone by the Two Human CYP2D6 and CYP3A4 Enzymes." Drug Metabolism and Disposition 29(9).</t>
  </si>
  <si>
    <t>antipsychotic risperidone metabolized by different p450 enzymes</t>
  </si>
  <si>
    <t>(+) 9-hydroxyrisperidone major metabolite 2D6</t>
  </si>
  <si>
    <t>(-) 9-hydroxyrisperidone minor metabolite 3A4/5</t>
  </si>
  <si>
    <t>six healthy organ donors</t>
  </si>
  <si>
    <t xml:space="preserve">neg 80 degrees </t>
  </si>
  <si>
    <t>CYP 3A4/5</t>
  </si>
  <si>
    <t>male, 64, heavy alcohol, head trama, phenylephrine and dopamine</t>
  </si>
  <si>
    <t>no info</t>
  </si>
  <si>
    <t>CYP p450 protein content</t>
  </si>
  <si>
    <t>nmol/mg protein</t>
  </si>
  <si>
    <t>1'-hydroxymethyleugenol formation</t>
  </si>
  <si>
    <t>nmol/min-1/mg protein -1</t>
  </si>
  <si>
    <t>log formation</t>
  </si>
  <si>
    <t>52F</t>
  </si>
  <si>
    <t>35M</t>
  </si>
  <si>
    <t>34F</t>
  </si>
  <si>
    <t>28F</t>
  </si>
  <si>
    <t>18M</t>
  </si>
  <si>
    <t>37 M</t>
  </si>
  <si>
    <t>22M</t>
  </si>
  <si>
    <t>65F</t>
  </si>
  <si>
    <t>16F</t>
  </si>
  <si>
    <t>33F</t>
  </si>
  <si>
    <t>Cauc</t>
  </si>
  <si>
    <t>NA</t>
  </si>
  <si>
    <t>Cerebrovascular accident</t>
  </si>
  <si>
    <t>Head Trama</t>
  </si>
  <si>
    <t>Cerebral anoxia</t>
  </si>
  <si>
    <t>cerebral aneurysm</t>
  </si>
  <si>
    <t>gunshot wound</t>
  </si>
  <si>
    <t>myocardial infarction</t>
  </si>
  <si>
    <t>Cytochrome P=450</t>
  </si>
  <si>
    <t>used in another study</t>
  </si>
  <si>
    <t>Cocaine N-Demethylation</t>
  </si>
  <si>
    <t>Vmax nmol/min/mg protein</t>
  </si>
  <si>
    <t>Km  mM</t>
  </si>
  <si>
    <t>Norcaine N-Hydroxylation</t>
  </si>
  <si>
    <t>Km mM</t>
  </si>
  <si>
    <t>Vmax nmol/ min/ mg protein</t>
  </si>
  <si>
    <t>Cocaine N-demethylation</t>
  </si>
  <si>
    <t>log Km  mM</t>
  </si>
  <si>
    <t>log Vmax nmol/min/mg protein</t>
  </si>
  <si>
    <t>Roberts, S. M., R. D. Harbison, et al. (1991). "Human Microsomal N-Oxidative Metabolism of cocaine." Drug Metabolism and Disposition 19(6): 1046-1051.</t>
  </si>
  <si>
    <t>Log GSD</t>
  </si>
  <si>
    <t>P450</t>
  </si>
  <si>
    <t>units 2D6/ mg microsomal protein</t>
  </si>
  <si>
    <t>nmol/mg protien</t>
  </si>
  <si>
    <t>Km  mM Cocaine N-Demethylation</t>
  </si>
  <si>
    <t>Vmax nmol/min/mg protein Cocaine N-Demethylation</t>
  </si>
  <si>
    <t>Vmax/Km Cocaine N-Demethylation</t>
  </si>
  <si>
    <t>Km  mM Norcaine N-Hydroxylation</t>
  </si>
  <si>
    <t>Vmax nmol/min/mg protein Norcaine N-Hydroxylation</t>
  </si>
  <si>
    <t>Vmax/Km Norcaine N-Hydroxylation</t>
  </si>
  <si>
    <t>CYP-P450 Unidentified</t>
  </si>
  <si>
    <t xml:space="preserve">HLM </t>
  </si>
  <si>
    <t>6 organ transplant patients 18-52), rejected organs with elevated liver enzymes due to vasopressors, tissue with poor liver function was rejected</t>
  </si>
  <si>
    <t>rate formation 10-hydroxy warfarin</t>
  </si>
  <si>
    <t>rate of formation 4'-hydroxy warfarin</t>
  </si>
  <si>
    <t>Ngui, J. S., Q. Chen, et al. (2001). "In Vitro Stimulation of Warfarin Metabolism by Quinidine: Increases in the Formation of 4'- and 10-hydroxywarfarin." Drug Metabolism and Disposition 29(6): 877-886.</t>
  </si>
  <si>
    <t>3m 2F donors from Penn Tissue Bank</t>
  </si>
  <si>
    <t>100uM Warfarin</t>
  </si>
  <si>
    <t>Kohl, C. and M. Steinkellner (2000). "Prediction of the Pharmacokinetic Drug/Drug Interactions From In Vitro Data: Interactions of the Nonsteroidal Anti-inflammatory Drug Lornoxicam with Oral Anticoagulants." Drug Metabolism and Disposition 28(2): 161-168.</t>
  </si>
  <si>
    <t>Jensen, Klaus Gjervig; Dalgaard, Lars.(1999), Drug Metabolism and Disposition Vol 27, No 1 (125-132)</t>
  </si>
  <si>
    <t>CYP1A1</t>
  </si>
  <si>
    <t>rate formation Lu 31-126</t>
  </si>
  <si>
    <t xml:space="preserve">racemic </t>
  </si>
  <si>
    <t>warafin average values</t>
  </si>
  <si>
    <t>formation 10-hydroxywarfarin</t>
  </si>
  <si>
    <t>Vmax/Km x 10^3</t>
  </si>
  <si>
    <t>mM</t>
  </si>
  <si>
    <t>pmol/min/mg</t>
  </si>
  <si>
    <t>ml/min/mg</t>
  </si>
  <si>
    <t>formation 4'-hydroxywarfarin</t>
  </si>
  <si>
    <t>HLM160</t>
  </si>
  <si>
    <t>HLM162</t>
  </si>
  <si>
    <t>HLM163</t>
  </si>
  <si>
    <t>HLM166</t>
  </si>
  <si>
    <t>HLM167</t>
  </si>
  <si>
    <t>control</t>
  </si>
  <si>
    <t xml:space="preserve"> </t>
  </si>
  <si>
    <t>Yanagihara, Yoshitsugu; Kariya, Satoru; Ohtani, Michiteru; Uchino, Katsuyoshi; Aoyama, Takao; Yamamura, Yoshikazu; Iga, Tatsuji.</t>
  </si>
  <si>
    <t>887-890</t>
  </si>
  <si>
    <t>log 10hydroxy</t>
  </si>
  <si>
    <t>log 4'-hydroxy</t>
  </si>
  <si>
    <t>HL 98</t>
  </si>
  <si>
    <t>HL 100</t>
  </si>
  <si>
    <t>HL 115</t>
  </si>
  <si>
    <t>HL 123</t>
  </si>
  <si>
    <t>HL 126</t>
  </si>
  <si>
    <t>nmol/min/ mg protein</t>
  </si>
  <si>
    <t>L/min/mg</t>
  </si>
  <si>
    <t>lognorm-norm same</t>
  </si>
  <si>
    <t xml:space="preserve">epoxide hydroxylase </t>
  </si>
  <si>
    <t>Km  2-cyanoethylene oxide hydrolysis</t>
  </si>
  <si>
    <t>Vmax 2-cyanoethylene oxide hydrolysis</t>
  </si>
  <si>
    <t>Vmax/Km 2-cyanoethylene oxide hydrolysis</t>
  </si>
  <si>
    <t>reaction obeys michaelis-menten kinetics</t>
  </si>
  <si>
    <t xml:space="preserve"> neg 70 C</t>
  </si>
  <si>
    <t>6 Human liver samples, tennessee donor services</t>
  </si>
  <si>
    <t>7 Human liver samples, tennessee donor services</t>
  </si>
  <si>
    <t>8 Human liver samples, tennessee donor services</t>
  </si>
  <si>
    <t>Kedderis, G. L. and R. Batra (1993). "Species differences in the hydrolysis of 2-cyanoethylene oxide, the epoxide metabolite of acrylonitrile." Carcinogenesis 14(4): 685-689.</t>
  </si>
  <si>
    <t>Zhang, W., Y. Ramamoorthy, et al. (2002). "Metabolism of 19-Methoxycoronaridine, and Ibogaine analog, to 10-Hydroxycoronaridine by genetically variable CYP2C19." Drug Metabolism and Disposition 30(6): 663-669.</t>
  </si>
  <si>
    <t>Gardner, I., H. Wakazono, et al. (1997). "Cytochrome P450 mediated bioactivation of methyleugenol to 1'-hydroxymethyleugenol in Fisher 344 rat and human liver microsomes." Carcinogenesis 18(9): 1775-1783.</t>
  </si>
  <si>
    <t>CYP 2E1 And additional CYP</t>
  </si>
  <si>
    <t>kidney donors (13) French age 13-65 where available</t>
  </si>
  <si>
    <t>HL1</t>
  </si>
  <si>
    <t>HL2</t>
  </si>
  <si>
    <t>HL6</t>
  </si>
  <si>
    <t>HL8</t>
  </si>
  <si>
    <t>HL9</t>
  </si>
  <si>
    <t>HL10</t>
  </si>
  <si>
    <t>HL12</t>
  </si>
  <si>
    <t>HL13</t>
  </si>
  <si>
    <t>ID</t>
  </si>
  <si>
    <t>Details</t>
  </si>
  <si>
    <t>35 y male head trama, dopamine</t>
  </si>
  <si>
    <t>male cirrhotic, gunshot suicide</t>
  </si>
  <si>
    <t>female 45, heavy alcohol, vascular accident</t>
  </si>
  <si>
    <t>male 13, head injury, dopamine, nembutal, phenytoin</t>
  </si>
  <si>
    <t>initial rates</t>
  </si>
  <si>
    <t>truncated normal?  Lognormal better fit</t>
  </si>
  <si>
    <t>initial rate 1,2:3,4-diepoxybutane nmol/mg protein/min</t>
  </si>
  <si>
    <t>analytical</t>
  </si>
  <si>
    <t>10, all caucasian, 7 male</t>
  </si>
  <si>
    <t>CYP 2E1, low concentration</t>
  </si>
  <si>
    <t>6 human livers organ donors, accidental death victims, age 15-42</t>
  </si>
  <si>
    <t>6 human livers organ donors, accidental death victims, age 15-43</t>
  </si>
  <si>
    <t>11 HLM, livers medically unsuitable for transplantation</t>
  </si>
  <si>
    <t>CYP 3A</t>
  </si>
  <si>
    <t xml:space="preserve">HLM, age 17-56 from Liver Bank 19 Male, </t>
  </si>
  <si>
    <t>preparation described previously</t>
  </si>
  <si>
    <t>Vinblastine metabolism (pmol/min/mg protein)</t>
  </si>
  <si>
    <t>Vinblastine 1uM</t>
  </si>
  <si>
    <t>microsomal samples 2mg protein/ ml</t>
  </si>
  <si>
    <t>sort act</t>
  </si>
  <si>
    <t>sort log act</t>
  </si>
  <si>
    <t>Zhang, Wenjiang; Ramamoorthy, Yamini; Tyndale, Rachel F.; Glick, Stanley D.; Maisonneuve, Isabelle M.; Kuehne, Martin E.; Sellers, Edward M., 2002. 30(6) 663-669</t>
  </si>
  <si>
    <t>5 HLM, 4gentest, I in house prep</t>
  </si>
  <si>
    <t>CYP 2C19</t>
  </si>
  <si>
    <t>HG03</t>
  </si>
  <si>
    <t>HG30</t>
  </si>
  <si>
    <t>HG43</t>
  </si>
  <si>
    <t>L-62</t>
  </si>
  <si>
    <t>nmol/mg/min</t>
  </si>
  <si>
    <t>Log Vmax</t>
  </si>
  <si>
    <t>Log Vmax/Km</t>
  </si>
  <si>
    <t>nmol/mg/hr</t>
  </si>
  <si>
    <t>18-MC O-demethylase Km uM</t>
  </si>
  <si>
    <t>18-MC O-demethylaseVmax (nmol/mg/min)</t>
  </si>
  <si>
    <t xml:space="preserve">18-MC O-demethylase Vmax/ Km </t>
  </si>
  <si>
    <t>Biotransformation of the M1-muscarinic agonist Lu 25-109</t>
  </si>
  <si>
    <t>Formation of Metabolites measured at pH 7.5</t>
  </si>
  <si>
    <t>Lu 31-126</t>
  </si>
  <si>
    <t>pmol product/mg/min  Lu 25-109 at 200uM</t>
  </si>
  <si>
    <t>Human Liver Sample</t>
  </si>
  <si>
    <t>CYP 1A2, CYP 2A6 and CYP 2C19</t>
  </si>
  <si>
    <t>Lu-29-297</t>
  </si>
  <si>
    <t>Lu 25-077</t>
  </si>
  <si>
    <t>Lu 32-181</t>
  </si>
  <si>
    <t>CYP 1A2 maybe CYP 2C19</t>
  </si>
  <si>
    <t>log 31-126</t>
  </si>
  <si>
    <t>log 29-297</t>
  </si>
  <si>
    <t>log 25-077</t>
  </si>
  <si>
    <t>log 32-181</t>
  </si>
  <si>
    <t>rate formation 29-297</t>
  </si>
  <si>
    <t>rate formation 25-077</t>
  </si>
  <si>
    <t>rate formation 32-181</t>
  </si>
  <si>
    <t>de-ethyl</t>
  </si>
  <si>
    <t>[3-(2-ethyltetrazol-5-yl)-1-methyl-pyridinium]</t>
  </si>
  <si>
    <t>demethyl</t>
  </si>
  <si>
    <t>N-oxide</t>
  </si>
  <si>
    <t>(5-(2-ethyl-2H-tetrazol-5-yl)-1-methyl-1,2,3,6-tetrahydropyridine)</t>
  </si>
  <si>
    <t>sort</t>
  </si>
  <si>
    <t>normal slightly</t>
  </si>
  <si>
    <t>mom</t>
  </si>
  <si>
    <t>14 HLM obtained from Xenotech LLC</t>
  </si>
  <si>
    <t>shipped in dry ice, patient histories etc maintained by supplier but not reported.</t>
  </si>
  <si>
    <t>15 HLM obtained from Xenotech LLC</t>
  </si>
  <si>
    <t>16 HLM obtained from Xenotech LLC</t>
  </si>
  <si>
    <t>17 HLM obtained from Xenotech LLC</t>
  </si>
  <si>
    <t>Jensen, Klaus Gjervig; Dalgaard, Lars.</t>
  </si>
  <si>
    <t>Drug Metabolism and Disposition</t>
  </si>
  <si>
    <t>125-132</t>
  </si>
  <si>
    <t>frozen -80( liquid nitrogen) withing 30 minutes of clinical death</t>
  </si>
  <si>
    <t>AMT(aminopterin) formation, FPGS Activity (pmol/mg/hour)</t>
  </si>
  <si>
    <t>MXT (methotrexate)  Formation, FPGS Activity (pmol/mg/hour)</t>
  </si>
  <si>
    <t>log AMT</t>
  </si>
  <si>
    <t>log MXT</t>
  </si>
  <si>
    <t>normal slightly better</t>
  </si>
  <si>
    <t xml:space="preserve">datathief </t>
  </si>
  <si>
    <t>human livers organ donors, accidental death victims, age 15-42</t>
  </si>
  <si>
    <t>human livers organ donors, accidental death victims, age 15-43</t>
  </si>
  <si>
    <t>datathief</t>
  </si>
  <si>
    <t>log</t>
  </si>
  <si>
    <t>3-year old child, outlier</t>
  </si>
  <si>
    <t xml:space="preserve">liver HHM50 was outlier, 3 year old male child, no other age info given.  </t>
  </si>
  <si>
    <t>microsomes obtained from commercial sources, I 3year old, little info given</t>
  </si>
  <si>
    <t>CYP 2E1</t>
  </si>
  <si>
    <t>Kms for all 3 species (0.5 uM)</t>
  </si>
  <si>
    <t>3 year old comparible to mouse, all others to rat</t>
  </si>
  <si>
    <t>log MI+MIII</t>
  </si>
  <si>
    <t>log MI</t>
  </si>
  <si>
    <t>log MIII</t>
  </si>
  <si>
    <t>Km given for 2 microsomes only</t>
  </si>
  <si>
    <t>data thief, bar graph</t>
  </si>
  <si>
    <t>don't use MIII data, not reliable translation from datathief.-  bars on graph too small</t>
  </si>
  <si>
    <t>Vmax/Km 2 (mL/ min/g microsomal protein)</t>
  </si>
  <si>
    <t>8 partial hepatectomy patients, 7EM, 1 PM</t>
  </si>
  <si>
    <t>5-OH-ICS, 5-hydroxy-tropisetron</t>
  </si>
  <si>
    <t>6-OH-ICS</t>
  </si>
  <si>
    <t>Vmax midazolam 1'-hydroxylation  (nmol/ mgP/ h)</t>
  </si>
  <si>
    <t>Km as given</t>
  </si>
  <si>
    <t>mean</t>
  </si>
  <si>
    <t>SD</t>
  </si>
  <si>
    <t>range</t>
  </si>
  <si>
    <t>2-6.6</t>
  </si>
  <si>
    <t>1.7-15.9</t>
  </si>
  <si>
    <t>1.9-7.2</t>
  </si>
  <si>
    <t>CYP 1A2 and CYP 3A4</t>
  </si>
  <si>
    <t>20 liver samples from patients undergoing partial hepaatectomy</t>
  </si>
  <si>
    <t>liver #</t>
  </si>
  <si>
    <t>Cl int</t>
  </si>
  <si>
    <t>pmol/mg protein/ min</t>
  </si>
  <si>
    <t>%score 20</t>
  </si>
  <si>
    <t>Zscore 20</t>
  </si>
  <si>
    <t>%score 7</t>
  </si>
  <si>
    <t>Zscore 7</t>
  </si>
  <si>
    <t>Vmax, N-desalkylpropafenone formation</t>
  </si>
  <si>
    <t>Km, N-desalkylpropafenone formation</t>
  </si>
  <si>
    <t>Clint, N-desalkylpropafenone formation</t>
  </si>
  <si>
    <t>2D6 responsible for formation of 5-hydroxy metabolite</t>
  </si>
  <si>
    <t>CYP 1A2 and CYP 3A5</t>
  </si>
  <si>
    <t>CYP 1A2 and CYP 3A6</t>
  </si>
  <si>
    <t>20 liver samples from patients undergoing partial hepatectomy</t>
  </si>
  <si>
    <t>CYP 2C9</t>
  </si>
  <si>
    <t>CYP 2A6</t>
  </si>
  <si>
    <t xml:space="preserve">CYP 1A2  </t>
  </si>
  <si>
    <t>CYP 2D6</t>
  </si>
  <si>
    <t>CYP 1A1</t>
  </si>
  <si>
    <t>truncated normal</t>
  </si>
  <si>
    <t>HL 104</t>
  </si>
  <si>
    <t>HL 108</t>
  </si>
  <si>
    <t>HL109</t>
  </si>
  <si>
    <t>HL 114</t>
  </si>
  <si>
    <t>HL 125</t>
  </si>
  <si>
    <t>HL 134</t>
  </si>
  <si>
    <t>HL 136</t>
  </si>
  <si>
    <t>HHM 18</t>
  </si>
  <si>
    <t>HHM 19</t>
  </si>
  <si>
    <t>HHM 50</t>
  </si>
  <si>
    <t>1,2:3,4-diepoxybutane</t>
  </si>
  <si>
    <t>nmol/mg protein/ min</t>
  </si>
  <si>
    <t>80 uM 1,2-epoxy-3-butene</t>
  </si>
  <si>
    <t>rat</t>
  </si>
  <si>
    <t>mouse</t>
  </si>
  <si>
    <t>Km range</t>
  </si>
  <si>
    <t>.304-.88 mM</t>
  </si>
  <si>
    <t>Vmax range</t>
  </si>
  <si>
    <t>.38-1.2</t>
  </si>
  <si>
    <t>nmol/mg protein/min</t>
  </si>
  <si>
    <t>10 liver transplant patients (new liver biopsy samples post operative day 10 - portion of needle biopsy core)</t>
  </si>
  <si>
    <t>Vmax S-13 1'-OH MDZ Formation</t>
  </si>
  <si>
    <t>S-13 liver fractions</t>
  </si>
  <si>
    <t>normal- lognormal equal fit</t>
  </si>
  <si>
    <t>Vmax scaled to liver of 1'-OH MDZ Formation</t>
  </si>
  <si>
    <t>Cl' int (Vmax/Km) Scaled to liver of 1'-OH MDZ formation</t>
  </si>
  <si>
    <t>liter/min</t>
  </si>
  <si>
    <t>dry ice 1-2 hours</t>
  </si>
  <si>
    <t>s-13 liver fractions, scaled to liver by ind Body weight and 21.43 g liver</t>
  </si>
  <si>
    <t xml:space="preserve">table </t>
  </si>
  <si>
    <t>sufficient samples obtained to calculate Km and Vmax from 5 of 10 study participants</t>
  </si>
  <si>
    <t>log GSD Calc Method</t>
  </si>
  <si>
    <t>stored various times- no detail given</t>
  </si>
  <si>
    <t>kidney donors (mostly dealth by car accident- described elsewhere), 21-52, 5M-5F, 10 individuals</t>
  </si>
  <si>
    <t>S9 Protein</t>
  </si>
  <si>
    <t>Table 1 Metablolism of Diazepam</t>
  </si>
  <si>
    <t>K6</t>
  </si>
  <si>
    <t>K10</t>
  </si>
  <si>
    <t>K12</t>
  </si>
  <si>
    <t>K14</t>
  </si>
  <si>
    <t>K15</t>
  </si>
  <si>
    <t>K16</t>
  </si>
  <si>
    <t>K18</t>
  </si>
  <si>
    <t>K19</t>
  </si>
  <si>
    <t>K20</t>
  </si>
  <si>
    <t>K21</t>
  </si>
  <si>
    <t>CL TMZ</t>
  </si>
  <si>
    <t>Vmaz/Km</t>
  </si>
  <si>
    <t>CL NDZ</t>
  </si>
  <si>
    <t>ml/min.g of S9 protein</t>
  </si>
  <si>
    <t>m</t>
  </si>
  <si>
    <t>f</t>
  </si>
  <si>
    <t>units?</t>
  </si>
  <si>
    <t>log Cl TMZ</t>
  </si>
  <si>
    <t>log CL NDZ</t>
  </si>
  <si>
    <t>Sorted</t>
  </si>
  <si>
    <t>Vmax/Km  TMZ Formation</t>
  </si>
  <si>
    <t>neither good fit, biphasic, multi enzyme?</t>
  </si>
  <si>
    <t xml:space="preserve">Vmax/Km  NDZ Formation </t>
  </si>
  <si>
    <t>log Cl int</t>
  </si>
  <si>
    <t>Vmax taxol 6-alpha-hydroxylation</t>
  </si>
  <si>
    <t>Km taxol 6-alpha-hydroxylation</t>
  </si>
  <si>
    <t>Clint  ( Vmax/ Km)taxol 6-alpha-hydroxylation</t>
  </si>
  <si>
    <t>log Ks</t>
  </si>
  <si>
    <t>unk, HLM purchased from Gentest</t>
  </si>
  <si>
    <t>log FU</t>
  </si>
  <si>
    <t>log 5-FU</t>
  </si>
  <si>
    <t>HLM, 100 uM Tegafur</t>
  </si>
  <si>
    <t>data thief</t>
  </si>
  <si>
    <t>Exclude</t>
  </si>
  <si>
    <t>14, purchased</t>
  </si>
  <si>
    <t>Tegufur 5-FU Formation</t>
  </si>
  <si>
    <t>log (alpha form)</t>
  </si>
  <si>
    <t xml:space="preserve">% Score </t>
  </si>
  <si>
    <t xml:space="preserve">log </t>
  </si>
  <si>
    <t>Procainamide N-acetylation (pmol/min/mg protein)</t>
  </si>
  <si>
    <t>N-acetyltransferase (NAT)</t>
  </si>
  <si>
    <t>double check</t>
  </si>
  <si>
    <t>cyropreserved liver bank, kidney donors (29) liver biopsies and resections (13) 42 caucasion 8 women, 28 men, 6 unknown, mean age 43, range 13-81 years</t>
  </si>
  <si>
    <t>sample contained 38 EM and 4 PM</t>
  </si>
  <si>
    <t>high Vmax sample contained 3A5, only  1 of 5 other samples tested contained isozyme, authors conclude no age, gender differenes</t>
  </si>
  <si>
    <t>Vmax dextromethorphan O-demethylation</t>
  </si>
  <si>
    <t>log vmax</t>
  </si>
  <si>
    <t>(uM/mg/hr)/(umol/L) get Vmax/ Km in L/mg/hr</t>
  </si>
  <si>
    <t>neither good, lognormal</t>
  </si>
  <si>
    <t>5 score</t>
  </si>
  <si>
    <t>chart</t>
  </si>
  <si>
    <t>15 Male Only</t>
  </si>
  <si>
    <t>dextromethorphan Vmax (nmol/mg P/h)</t>
  </si>
  <si>
    <t>figure 2D Female</t>
  </si>
  <si>
    <t>figure 2 D Male</t>
  </si>
  <si>
    <t>Figure 3C</t>
  </si>
  <si>
    <t>midazolam 1'-hydroxylation Vmax (nmol/ mgP/ h)</t>
  </si>
  <si>
    <t>Figure 3D Female</t>
  </si>
  <si>
    <t>Figure 3D Male</t>
  </si>
  <si>
    <t>Figure 2 C</t>
  </si>
  <si>
    <t>#DataThief D:\data thief to do\Zhou-Pan 1993 fig 2.jpg Tuesday 29-Nov-2005 4:40:29 PM</t>
  </si>
  <si>
    <t>Vmax NDZ (nmol/ min/ g prot)</t>
  </si>
  <si>
    <t>Vmax TMZ (nmol/ min/ g protein)</t>
  </si>
  <si>
    <t>Figure 2 TMZ, temazepam, 3-hydroxydiazepam</t>
  </si>
  <si>
    <t>Figure 2 NDZ, N-desmethyldiazepam</t>
  </si>
  <si>
    <t>nmol/min/mg proteins</t>
  </si>
  <si>
    <t>Figure 5 A Specific Activity, glucuronidation of lamotrigine in HLM</t>
  </si>
  <si>
    <t>4 transplantable livers (2 no info,1 cancer, 2 brain trama) , 1 post-mortem, HLM</t>
  </si>
  <si>
    <t>Niwa T, Shiraga T, Ohno Y, Kagayama A. Interindividual variability in 5-Fluorouracil metabolism and procainamide N-acetylation in human liver cytosol. Biol Pharm Bull 28:1071-4(2005).</t>
  </si>
  <si>
    <t>Zhou 1993 fig 2 and Zhou-Pan 1993 same  Fig 2  don't use both</t>
  </si>
  <si>
    <t>sex</t>
  </si>
  <si>
    <t>Vmax</t>
  </si>
  <si>
    <t>Km</t>
  </si>
  <si>
    <t>Cl int (Vmax/Km)</t>
  </si>
  <si>
    <t>yr</t>
  </si>
  <si>
    <t>nmol/hr/mg protein</t>
  </si>
  <si>
    <t>ml/hr/mg protein</t>
  </si>
  <si>
    <t>UM 592</t>
  </si>
  <si>
    <t>UM 505</t>
  </si>
  <si>
    <t>UM 256</t>
  </si>
  <si>
    <t>UM 208</t>
  </si>
  <si>
    <t>UM 312</t>
  </si>
  <si>
    <t>UM 350</t>
  </si>
  <si>
    <t>M</t>
  </si>
  <si>
    <t>livers flash frozen stored at - 80 C</t>
  </si>
  <si>
    <t>taxol 6-alpha-hydroxylation</t>
  </si>
  <si>
    <t>3A, not 3A4 specific</t>
  </si>
  <si>
    <t>Obtained from U Of Minnesota, Liver Tissue Procurement and Distribution System age 10-51 years 4 M, 2 F</t>
  </si>
  <si>
    <t>in Vitro</t>
  </si>
  <si>
    <t>Table 1</t>
  </si>
  <si>
    <t>Donor #</t>
  </si>
  <si>
    <t>Age</t>
  </si>
  <si>
    <t>Sex</t>
  </si>
  <si>
    <t>Ks</t>
  </si>
  <si>
    <t>years</t>
  </si>
  <si>
    <t>umol/L</t>
  </si>
  <si>
    <t>umol/min/g</t>
  </si>
  <si>
    <t>dihydrocodeine-6-glucoronide formation</t>
  </si>
  <si>
    <t>Liver donors 25-73 2M, 3 F</t>
  </si>
  <si>
    <t>Kg</t>
  </si>
  <si>
    <t>subject</t>
  </si>
  <si>
    <t>Vmax (S-13)</t>
  </si>
  <si>
    <t>Vmax (liver)</t>
  </si>
  <si>
    <t>Cl' int (liver)</t>
  </si>
  <si>
    <t>umol/min/mg</t>
  </si>
  <si>
    <t>umol/min</t>
  </si>
  <si>
    <t>liter/min0</t>
  </si>
  <si>
    <t>R-2</t>
  </si>
  <si>
    <t>R-6</t>
  </si>
  <si>
    <t>R-7</t>
  </si>
  <si>
    <t>R-19</t>
  </si>
  <si>
    <t>R-22</t>
  </si>
  <si>
    <t>body weight</t>
  </si>
  <si>
    <t>in vitro data</t>
  </si>
  <si>
    <t>in vivo data</t>
  </si>
  <si>
    <t>R-4</t>
  </si>
  <si>
    <t>R-10</t>
  </si>
  <si>
    <t>R-14</t>
  </si>
  <si>
    <t>R-16</t>
  </si>
  <si>
    <t>R-17</t>
  </si>
  <si>
    <t>calculated from Vmax and Km</t>
  </si>
  <si>
    <t>2D6, EM</t>
  </si>
  <si>
    <t>sorted log activity</t>
  </si>
  <si>
    <t>glucuronidation</t>
  </si>
  <si>
    <t>Glucuronidation</t>
  </si>
  <si>
    <t>log (Vmax)</t>
  </si>
  <si>
    <t>sorted Vmax</t>
  </si>
  <si>
    <t>Lipscomb, J. C., J. W. Fisher, et al. (1998). "In vitro to in vivo extrapolation for trichloroethylene metabolism in humans." Toxicol Appl Pharmacol 152(2): 376-87.</t>
  </si>
  <si>
    <t>6 human hepatocytes</t>
  </si>
  <si>
    <t>nmol/h/10^6 cells</t>
  </si>
  <si>
    <t>nmol/h/g liver</t>
  </si>
  <si>
    <t>mmol/hour/g liver</t>
  </si>
  <si>
    <t>mg/hou/kg body weight (70 Kg)</t>
  </si>
  <si>
    <t>STANDARD DEVIATION</t>
  </si>
  <si>
    <t>average</t>
  </si>
  <si>
    <t>p450 content</t>
  </si>
  <si>
    <t>log p450</t>
  </si>
  <si>
    <t>p450</t>
  </si>
  <si>
    <t>correlation to p450 content</t>
  </si>
  <si>
    <t>log 2d6/ microsome</t>
  </si>
  <si>
    <t>p450 content…. Units/mg protein</t>
  </si>
  <si>
    <t>CYP1A2</t>
  </si>
  <si>
    <t>CYP2C</t>
  </si>
  <si>
    <t>CYP2D6</t>
  </si>
  <si>
    <t>CYP3A</t>
  </si>
  <si>
    <t>stdev</t>
  </si>
  <si>
    <t>sorted log Vmax</t>
  </si>
  <si>
    <t>lognormal?</t>
  </si>
  <si>
    <t>Vmax,  N-desmethyldiazepam</t>
  </si>
  <si>
    <t>Vmax, 3-hydroxydiazepam</t>
  </si>
  <si>
    <t>log Vmax S-13</t>
  </si>
  <si>
    <t>log Vmax liver</t>
  </si>
  <si>
    <t>log Cl' int</t>
  </si>
  <si>
    <t>sorted</t>
  </si>
  <si>
    <t>Km '1-OH Midazolam formation</t>
  </si>
  <si>
    <t>Transon C, Lecoeur S, Leemann T, Beaune P, Dayer P. Interindividual variability in catalytic activity and immunoreactivity of three major human liver cytochrome P450 isozymes. Eur J Clin Pharmacol 51:79-85(1996).</t>
  </si>
  <si>
    <t>Botsch S, Gautier JC, Beaune P, Eichelbaum M, Kroemer HK. Identification and characterization of the cytochrome P450 enzymes involved in N-dealkylation of propafenone: molecular base for interaction potential and variable disposition of active metabolites. Mol Pharmacol 43:120-6(1993).</t>
  </si>
  <si>
    <t>Seaton MJ, Follansbee MH, Bond JA. Oxidation of 1,2-epoxy-3-butene to 1,2:3,4-diepoxybutane by cDNA-expressed human cytochromes P450 2E1 and 3A4 and human, mouse and rat liver microsomes. Carcinogenesis 16:2287-93(1995).</t>
  </si>
  <si>
    <t>Kirkwood LC, Nation RL, Somogyi AA. Glucuronidation of dihydrocodeine by human liver microsomes and the effect of inhibitors. Clin Exp Pharmacol Physiol 25:266-70(1998).</t>
  </si>
  <si>
    <t>Thummel KE, Shen DD, Podoll TD, Kunze KL, Trager WF, Hartwell PS, Raisys VA, Marsh CL, McVicar JP, Barr DM, et al. Use of midazolam as a human cytochrome P450 3A probe: I. In vitro-in vivo correlations in liver transplant patients. J Pharmacol Exp Ther 271:549-56(1994).</t>
  </si>
  <si>
    <t>Zhou-Pan XR, Seree E, Zhou XJ, Placidi M, Maurel P, Barra Y, Rahmani R. Involvement of human liver cytochrome P450 3A in vinblastine metabolism: drug interactions. Cancer Res 53:5121-6(1993).</t>
  </si>
  <si>
    <t>Zhou XJ, Zhou-Pan XR, Gauthier T, Placidi M, Maurel P, Rahmani R. Human liver microsomal cytochrome P450 3A isozymes mediated vindesine biotransformation. Metabolic drug interactions. Biochem Pharmacol 45:853-61(1993).</t>
  </si>
  <si>
    <t>Magdalou J, Herber R, Bidault R, Siest G. In vitro N-glucuronidation of a novel antiepileptic drug, lamotrigine, by human liver microsomes. J Pharmacol Exp Ther 260:1166-73(1992).</t>
  </si>
  <si>
    <t>What is P, mg of Protein?</t>
  </si>
  <si>
    <t>Diclofenac Vmax (nmol/mg P/hr)</t>
  </si>
  <si>
    <t>Figure 1C age 13-81 years</t>
  </si>
  <si>
    <t>Vmax diclofenac 4'-hydroxylation</t>
  </si>
  <si>
    <t>sort Vmax</t>
  </si>
  <si>
    <t>sort log(Vmax)</t>
  </si>
  <si>
    <t>cryopreserved, described elsewhere</t>
  </si>
  <si>
    <t>normal better fit</t>
  </si>
  <si>
    <t>Males</t>
  </si>
  <si>
    <t>Vmax Sorted</t>
  </si>
  <si>
    <t>Cantoreggi S, Keller DA. Pharmacokinetics and metabolism of vinyl fluoride in vivo and in vitro. Toxicol Appl Pharmacol 143:130-9(1997).</t>
  </si>
  <si>
    <t>HL33</t>
  </si>
  <si>
    <t>HL35</t>
  </si>
  <si>
    <t>HL36</t>
  </si>
  <si>
    <t xml:space="preserve">Rat </t>
  </si>
  <si>
    <t>Rabbit</t>
  </si>
  <si>
    <t>HL37</t>
  </si>
  <si>
    <t>HL38</t>
  </si>
  <si>
    <t>HL39</t>
  </si>
  <si>
    <t>AMT</t>
  </si>
  <si>
    <t>FPGS Activity (pmol/mg/hour)</t>
  </si>
  <si>
    <t xml:space="preserve">MXT </t>
  </si>
  <si>
    <t>HLM, livers medically unsuitable for transplantation</t>
  </si>
  <si>
    <t>2B6</t>
  </si>
  <si>
    <t>efavirenz to MI by 2B6 then to MII by 2B6 as well</t>
  </si>
  <si>
    <t>Figure 1</t>
  </si>
  <si>
    <t xml:space="preserve">liver cytosol </t>
  </si>
  <si>
    <t>Figure 2 Procainamide N-acetylation in Human liver Cytosol (2 male)</t>
  </si>
  <si>
    <t>male</t>
  </si>
  <si>
    <t>Human liver Cytosol prepared from 12 individuals  obtained from gentest and 9 described elsewhere</t>
  </si>
  <si>
    <t>female more variable? Authors conclude no age or gender  differences in activity</t>
  </si>
  <si>
    <t>CYP 2D6 (units/ mg microsomal protein)</t>
  </si>
  <si>
    <t>Vmax1 (pmol/mg/min)</t>
  </si>
  <si>
    <t>Km1 uM</t>
  </si>
  <si>
    <t>Vmax/Km1 (mL/min/g)</t>
  </si>
  <si>
    <t>microsomal fractions contain 250 ug of microsomal protein)</t>
  </si>
  <si>
    <t>Vmax2 (pmol/mg/min)</t>
  </si>
  <si>
    <t>Km2 (uM)</t>
  </si>
  <si>
    <t>Km1 (uM)</t>
  </si>
  <si>
    <t>Vmax/Km mL/min/g</t>
  </si>
  <si>
    <t>Vmax2 pmol/mg/min</t>
  </si>
  <si>
    <t>Km2 uM</t>
  </si>
  <si>
    <t>Vmax/ Km mL/min/g</t>
  </si>
  <si>
    <t>Liver</t>
  </si>
  <si>
    <t>6-OH-ICH</t>
  </si>
  <si>
    <t>Kumar GN, Walle UK, Walle T. Cytochrome P450 3A-mediated human liver microsomal taxol 6 alpha-hydroxylation. J Pharmacol Exp Ther 268:1160-5(1994).</t>
  </si>
  <si>
    <t>Clarke L, Waxman DJ. Human liver folylpolyglutamate synthetase: biochemical characterization and interactions with folates and folate antagonists. Arch Biochem Biophys 256:585-96(1987).</t>
  </si>
  <si>
    <t>Ward BA, Gorski JC, Jones DR, Hall SD, Flockhart DA, Desta Z. The cytochrome P450 2B6 (CYP2B6) is the main catalyst of efavirenz primary and secondary metabolism: implication for HIV/AIDS therapy and utility of efavirenz as a substrate marker of CYP2B6 catalytic activity. J Pharmacol Exp Ther 306:287-300(2003).</t>
  </si>
  <si>
    <t>Firkusny L, Kroemer HK, Eichelbaum M. In vitro characterization of cytochrome P450 catalysed metabolism of the antiemetic tropisetron. Biochem Pharmacol 49:1777-84(1995).</t>
  </si>
  <si>
    <t>Inaba T, Tait A, Nakano M, Mahon WA, Kalow W. Metabolism of diazepam in vitro by human liver. Independent variability of N-demethylation and C3-hydroxylation. Drug Metab Dispos 16:605-8(1988).</t>
  </si>
  <si>
    <t>patient #</t>
  </si>
  <si>
    <t>Specific P450 Content</t>
  </si>
  <si>
    <t>CYP 3A4</t>
  </si>
  <si>
    <t>nmol/100 nmol total p450</t>
  </si>
  <si>
    <t>Apparent Vmax Alpha-hydrox of Midazolam</t>
  </si>
  <si>
    <t>nmol/nmol p450/min</t>
  </si>
  <si>
    <t>Apparent Km Alpha-hydrox of Midazolam</t>
  </si>
  <si>
    <t>uM</t>
  </si>
  <si>
    <t>nd</t>
  </si>
  <si>
    <t>cytosol</t>
  </si>
  <si>
    <t>EE 3-glucuronidation</t>
  </si>
  <si>
    <t xml:space="preserve">normal, </t>
  </si>
  <si>
    <t>table-MOM</t>
  </si>
  <si>
    <t>data acquisition method</t>
  </si>
  <si>
    <t>Data Acquisition</t>
  </si>
  <si>
    <t>Log GSD Calculation Method</t>
  </si>
  <si>
    <t>MOM</t>
  </si>
  <si>
    <t>Vmax/Km</t>
  </si>
  <si>
    <t>WU 1997 Vmax/ Km</t>
  </si>
  <si>
    <t>convert nmol to micro mol  vmax (nmol/mg/hr)* 1000)</t>
  </si>
  <si>
    <t>divide Vmax by Km</t>
  </si>
  <si>
    <t>plot-least sq</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</si>
</sst>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quot;£&quot;#,##0;\-&quot;£&quot;#,##0"/>
    <numFmt numFmtId="170" formatCode="&quot;£&quot;#,##0;[Red]\-&quot;£&quot;#,##0"/>
    <numFmt numFmtId="171" formatCode="&quot;£&quot;#,##0.00;\-&quot;£&quot;#,##0.00"/>
    <numFmt numFmtId="172" formatCode="&quot;£&quot;#,##0.00;[Red]\-&quot;£&quot;#,##0.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d\ mmmm\ yyyy"/>
    <numFmt numFmtId="178" formatCode="[&lt;0.0001]&quot;&lt;0.0001&quot;;0.0000"/>
    <numFmt numFmtId="179" formatCode="0.0"/>
    <numFmt numFmtId="180" formatCode="0.0000"/>
    <numFmt numFmtId="181" formatCode="[&lt;0]&quot;to -&quot;0.0000;&quot;to &quot;0.0000"/>
    <numFmt numFmtId="182" formatCode="[&lt;0]&quot;to -&quot;0.000;&quot;to &quot;0.000"/>
    <numFmt numFmtId="183" formatCode="[&lt;0]&quot;to -&quot;0.00;&quot;to &quot;0.00"/>
    <numFmt numFmtId="184" formatCode="&quot;to &quot;0.00;&quot;to &quot;\-0.00;&quot;to 0&quot;;&quot;to &quot;@"/>
    <numFmt numFmtId="185" formatCode="&quot;to &quot;0.00;&quot;to &quot;\-0.00;&quot;to 0&quot;"/>
  </numFmts>
  <fonts count="43">
    <font>
      <sz val="10"/>
      <name val="Arial"/>
      <family val="0"/>
    </font>
    <font>
      <sz val="8"/>
      <name val="Arial"/>
      <family val="0"/>
    </font>
    <font>
      <b/>
      <sz val="10"/>
      <name val="Arial"/>
      <family val="2"/>
    </font>
    <font>
      <vertAlign val="superscript"/>
      <sz val="9.75"/>
      <name val="Arial"/>
      <family val="0"/>
    </font>
    <font>
      <sz val="9.75"/>
      <name val="Arial"/>
      <family val="0"/>
    </font>
    <font>
      <b/>
      <sz val="9.75"/>
      <name val="Arial"/>
      <family val="0"/>
    </font>
    <font>
      <i/>
      <sz val="10"/>
      <name val="Arial"/>
      <family val="0"/>
    </font>
    <font>
      <b/>
      <sz val="11.75"/>
      <name val="Arial"/>
      <family val="0"/>
    </font>
    <font>
      <vertAlign val="superscript"/>
      <sz val="10.25"/>
      <name val="Arial"/>
      <family val="0"/>
    </font>
    <font>
      <vertAlign val="superscript"/>
      <sz val="10"/>
      <name val="Arial"/>
      <family val="0"/>
    </font>
    <font>
      <sz val="10.25"/>
      <name val="Arial"/>
      <family val="0"/>
    </font>
    <font>
      <b/>
      <sz val="12"/>
      <name val="Arial"/>
      <family val="0"/>
    </font>
    <font>
      <b/>
      <sz val="10.25"/>
      <name val="Arial"/>
      <family val="0"/>
    </font>
    <font>
      <vertAlign val="superscript"/>
      <sz val="10.5"/>
      <name val="Arial"/>
      <family val="0"/>
    </font>
    <font>
      <vertAlign val="superscript"/>
      <sz val="10.75"/>
      <name val="Arial"/>
      <family val="0"/>
    </font>
    <font>
      <b/>
      <sz val="10.5"/>
      <name val="Arial"/>
      <family val="0"/>
    </font>
    <font>
      <sz val="10.5"/>
      <name val="Arial"/>
      <family val="0"/>
    </font>
    <font>
      <b/>
      <sz val="10.75"/>
      <name val="Arial"/>
      <family val="0"/>
    </font>
    <font>
      <sz val="10.75"/>
      <name val="Arial"/>
      <family val="0"/>
    </font>
    <font>
      <u val="single"/>
      <sz val="10"/>
      <color indexed="12"/>
      <name val="Arial"/>
      <family val="0"/>
    </font>
    <font>
      <u val="single"/>
      <sz val="10"/>
      <color indexed="36"/>
      <name val="Arial"/>
      <family val="0"/>
    </font>
    <font>
      <vertAlign val="superscript"/>
      <sz val="12"/>
      <name val="Arial"/>
      <family val="0"/>
    </font>
    <font>
      <sz val="12"/>
      <name val="Arial"/>
      <family val="0"/>
    </font>
    <font>
      <sz val="11.25"/>
      <name val="Arial"/>
      <family val="0"/>
    </font>
    <font>
      <b/>
      <sz val="11.5"/>
      <name val="Arial"/>
      <family val="0"/>
    </font>
    <font>
      <vertAlign val="superscript"/>
      <sz val="9.5"/>
      <name val="Arial"/>
      <family val="0"/>
    </font>
    <font>
      <b/>
      <sz val="9.5"/>
      <name val="Arial"/>
      <family val="0"/>
    </font>
    <font>
      <sz val="9.5"/>
      <name val="Arial"/>
      <family val="0"/>
    </font>
    <font>
      <sz val="12"/>
      <name val="Times New Roman"/>
      <family val="1"/>
    </font>
    <font>
      <b/>
      <sz val="10"/>
      <color indexed="8"/>
      <name val="Arial"/>
      <family val="0"/>
    </font>
    <font>
      <sz val="10"/>
      <color indexed="8"/>
      <name val="Arial"/>
      <family val="0"/>
    </font>
    <font>
      <sz val="9"/>
      <name val="Arial"/>
      <family val="2"/>
    </font>
    <font>
      <b/>
      <sz val="9"/>
      <color indexed="18"/>
      <name val="Arial"/>
      <family val="2"/>
    </font>
    <font>
      <b/>
      <sz val="9"/>
      <color indexed="8"/>
      <name val="Arial"/>
      <family val="2"/>
    </font>
    <font>
      <sz val="7"/>
      <name val="Arial"/>
      <family val="2"/>
    </font>
    <font>
      <sz val="9"/>
      <color indexed="8"/>
      <name val="Arial"/>
      <family val="0"/>
    </font>
    <font>
      <sz val="7"/>
      <color indexed="9"/>
      <name val="Arial"/>
      <family val="0"/>
    </font>
    <font>
      <b/>
      <sz val="10"/>
      <color indexed="9"/>
      <name val="Arial"/>
      <family val="2"/>
    </font>
    <font>
      <sz val="9"/>
      <color indexed="9"/>
      <name val="Arial"/>
      <family val="0"/>
    </font>
    <font>
      <sz val="9"/>
      <color indexed="9"/>
      <name val="Symbol"/>
      <family val="1"/>
    </font>
    <font>
      <b/>
      <sz val="8"/>
      <name val="Arial"/>
      <family val="0"/>
    </font>
    <font>
      <sz val="10"/>
      <name val="Times"/>
      <family val="0"/>
    </font>
    <font>
      <sz val="10"/>
      <name val="Geneva"/>
      <family val="0"/>
    </font>
  </fonts>
  <fills count="4">
    <fill>
      <patternFill/>
    </fill>
    <fill>
      <patternFill patternType="gray125"/>
    </fill>
    <fill>
      <patternFill patternType="solid">
        <fgColor indexed="17"/>
        <bgColor indexed="64"/>
      </patternFill>
    </fill>
    <fill>
      <patternFill patternType="solid">
        <fgColor indexed="22"/>
        <bgColor indexed="64"/>
      </patternFill>
    </fill>
  </fills>
  <borders count="24">
    <border>
      <left/>
      <right/>
      <top/>
      <bottom/>
      <diagonal/>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color indexed="63"/>
      </right>
      <top>
        <color indexed="63"/>
      </top>
      <bottom style="medium">
        <color indexed="8"/>
      </bottom>
    </border>
    <border>
      <left>
        <color indexed="63"/>
      </left>
      <right>
        <color indexed="63"/>
      </right>
      <top>
        <color indexed="63"/>
      </top>
      <bottom style="medium"/>
    </border>
    <border>
      <left>
        <color indexed="63"/>
      </left>
      <right>
        <color indexed="63"/>
      </right>
      <top style="medium"/>
      <bottom style="thin"/>
    </border>
    <border>
      <left style="thin">
        <color indexed="8"/>
      </left>
      <right>
        <color indexed="63"/>
      </right>
      <top>
        <color indexed="63"/>
      </top>
      <bottom style="medium">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medium">
        <color indexed="8"/>
      </bottom>
    </border>
    <border>
      <left>
        <color indexed="63"/>
      </left>
      <right style="thin">
        <color indexed="8"/>
      </right>
      <top>
        <color indexed="63"/>
      </top>
      <bottom>
        <color indexed="63"/>
      </bottom>
    </border>
    <border>
      <left>
        <color indexed="63"/>
      </left>
      <right style="thin">
        <color indexed="8"/>
      </right>
      <top>
        <color indexed="63"/>
      </top>
      <bottom style="medium">
        <color indexed="8"/>
      </bottom>
    </border>
    <border>
      <left style="thin"/>
      <right style="thin"/>
      <top style="thin"/>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s>
  <cellStyleXfs count="3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Protection="0">
      <alignment horizontal="right"/>
    </xf>
    <xf numFmtId="164" fontId="0" fillId="0" borderId="0" applyFont="0" applyFill="0" applyBorder="0" applyProtection="0">
      <alignment horizontal="right"/>
    </xf>
    <xf numFmtId="180" fontId="0" fillId="0" borderId="0" applyFont="0" applyFill="0" applyBorder="0" applyProtection="0">
      <alignment horizontal="right"/>
    </xf>
    <xf numFmtId="180" fontId="31" fillId="0" borderId="0" applyFont="0" applyFill="0" applyBorder="0" applyProtection="0">
      <alignment horizontal="right"/>
    </xf>
    <xf numFmtId="185" fontId="31" fillId="0" borderId="0" applyFont="0" applyFill="0" applyBorder="0" applyProtection="0">
      <alignment horizontal="left"/>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0" fillId="0" borderId="0" applyFont="0" applyFill="0" applyBorder="0" applyProtection="0">
      <alignment horizontal="right"/>
    </xf>
    <xf numFmtId="0" fontId="32" fillId="2" borderId="1" applyProtection="0">
      <alignment horizontal="right"/>
    </xf>
    <xf numFmtId="0" fontId="33" fillId="2" borderId="0" applyProtection="0">
      <alignment horizontal="left"/>
    </xf>
    <xf numFmtId="0" fontId="19" fillId="0" borderId="0" applyNumberFormat="0" applyFill="0" applyBorder="0" applyAlignment="0" applyProtection="0"/>
    <xf numFmtId="0" fontId="34" fillId="0" borderId="0" applyFill="0" applyBorder="0" applyProtection="0">
      <alignment horizontal="left"/>
    </xf>
    <xf numFmtId="0" fontId="32" fillId="0" borderId="2" applyProtection="0">
      <alignment horizontal="right"/>
    </xf>
    <xf numFmtId="0" fontId="32" fillId="0" borderId="1" applyProtection="0">
      <alignment horizontal="right"/>
    </xf>
    <xf numFmtId="0" fontId="32" fillId="0" borderId="3" applyProtection="0">
      <alignment horizontal="center"/>
    </xf>
    <xf numFmtId="1" fontId="0" fillId="0" borderId="0" applyFont="0" applyFill="0" applyBorder="0" applyProtection="0">
      <alignment horizontal="right"/>
    </xf>
    <xf numFmtId="178" fontId="0" fillId="0" borderId="0" applyFont="0" applyFill="0" applyBorder="0" applyProtection="0">
      <alignment horizontal="right"/>
    </xf>
    <xf numFmtId="9" fontId="0" fillId="0" borderId="0" applyFont="0" applyFill="0" applyBorder="0" applyAlignment="0" applyProtection="0"/>
  </cellStyleXfs>
  <cellXfs count="127">
    <xf numFmtId="0" fontId="0" fillId="0" borderId="0" xfId="0" applyAlignment="1">
      <alignment/>
    </xf>
    <xf numFmtId="0" fontId="2" fillId="0" borderId="0" xfId="0" applyFont="1" applyAlignment="1">
      <alignment/>
    </xf>
    <xf numFmtId="0" fontId="0" fillId="0" borderId="0" xfId="0" applyFill="1" applyBorder="1" applyAlignment="1">
      <alignment/>
    </xf>
    <xf numFmtId="0" fontId="0" fillId="0" borderId="4" xfId="0" applyFill="1" applyBorder="1" applyAlignment="1">
      <alignment/>
    </xf>
    <xf numFmtId="0" fontId="6" fillId="0" borderId="5" xfId="0" applyFont="1" applyFill="1" applyBorder="1" applyAlignment="1">
      <alignment horizontal="center"/>
    </xf>
    <xf numFmtId="0" fontId="6" fillId="0" borderId="5" xfId="0" applyFont="1" applyFill="1" applyBorder="1" applyAlignment="1">
      <alignment horizontal="centerContinuous"/>
    </xf>
    <xf numFmtId="0" fontId="19" fillId="0" borderId="0" xfId="28" applyFont="1" applyAlignment="1">
      <alignment/>
    </xf>
    <xf numFmtId="0" fontId="0" fillId="0" borderId="0" xfId="0" applyAlignment="1">
      <alignment horizontal="center" wrapText="1"/>
    </xf>
    <xf numFmtId="164" fontId="0" fillId="0" borderId="0" xfId="0" applyNumberFormat="1" applyAlignment="1">
      <alignment horizontal="center" wrapText="1"/>
    </xf>
    <xf numFmtId="0" fontId="6" fillId="0" borderId="0" xfId="0" applyFont="1" applyAlignment="1">
      <alignment/>
    </xf>
    <xf numFmtId="0" fontId="0" fillId="0" borderId="0" xfId="0" applyAlignment="1">
      <alignment wrapText="1"/>
    </xf>
    <xf numFmtId="11" fontId="0" fillId="0" borderId="0" xfId="0" applyNumberFormat="1" applyAlignment="1">
      <alignment/>
    </xf>
    <xf numFmtId="0" fontId="0" fillId="0" borderId="0" xfId="0" applyNumberFormat="1" applyAlignment="1">
      <alignment/>
    </xf>
    <xf numFmtId="0" fontId="0" fillId="0" borderId="0" xfId="0" applyFont="1" applyAlignment="1">
      <alignment/>
    </xf>
    <xf numFmtId="0" fontId="2" fillId="0" borderId="0" xfId="0" applyFont="1" applyAlignment="1">
      <alignment wrapText="1"/>
    </xf>
    <xf numFmtId="0" fontId="0" fillId="0" borderId="0" xfId="0" applyAlignment="1" quotePrefix="1">
      <alignment/>
    </xf>
    <xf numFmtId="16" fontId="0" fillId="0" borderId="0" xfId="0" applyNumberFormat="1" applyAlignment="1">
      <alignment/>
    </xf>
    <xf numFmtId="0" fontId="0" fillId="0" borderId="0" xfId="0" applyNumberFormat="1" applyAlignment="1">
      <alignment wrapText="1"/>
    </xf>
    <xf numFmtId="0" fontId="0" fillId="0" borderId="0" xfId="0" applyFont="1" applyAlignment="1">
      <alignment wrapText="1"/>
    </xf>
    <xf numFmtId="0" fontId="6" fillId="0" borderId="0" xfId="0" applyFont="1" applyAlignment="1">
      <alignment wrapText="1"/>
    </xf>
    <xf numFmtId="12" fontId="0" fillId="0" borderId="0" xfId="0" applyNumberFormat="1" applyAlignment="1">
      <alignment/>
    </xf>
    <xf numFmtId="0" fontId="28" fillId="0" borderId="0" xfId="0" applyFont="1" applyAlignment="1">
      <alignment/>
    </xf>
    <xf numFmtId="0" fontId="29" fillId="3" borderId="3" xfId="0" applyFont="1" applyFill="1" applyBorder="1" applyAlignment="1">
      <alignment horizontal="center"/>
    </xf>
    <xf numFmtId="0" fontId="30" fillId="0" borderId="0" xfId="0" applyFont="1" applyFill="1" applyBorder="1" applyAlignment="1">
      <alignment horizontal="right"/>
    </xf>
    <xf numFmtId="0" fontId="29" fillId="3" borderId="3" xfId="0" applyFont="1" applyFill="1" applyBorder="1" applyAlignment="1">
      <alignment horizontal="centerContinuous"/>
    </xf>
    <xf numFmtId="0" fontId="33" fillId="2" borderId="0" xfId="27">
      <alignment horizontal="left"/>
    </xf>
    <xf numFmtId="0" fontId="35" fillId="2" borderId="0" xfId="27" applyFont="1">
      <alignment horizontal="left"/>
    </xf>
    <xf numFmtId="0" fontId="36" fillId="2" borderId="0" xfId="0" applyFont="1" applyFill="1" applyAlignment="1">
      <alignment horizontal="right" vertical="top"/>
    </xf>
    <xf numFmtId="0" fontId="32" fillId="2" borderId="1" xfId="26" applyFont="1">
      <alignment horizontal="right"/>
    </xf>
    <xf numFmtId="0" fontId="37" fillId="2" borderId="0" xfId="27" applyFont="1">
      <alignment horizontal="left"/>
    </xf>
    <xf numFmtId="0" fontId="32" fillId="2" borderId="1" xfId="26">
      <alignment horizontal="right"/>
    </xf>
    <xf numFmtId="0" fontId="38" fillId="2" borderId="0" xfId="27" applyFont="1">
      <alignment horizontal="left"/>
    </xf>
    <xf numFmtId="177" fontId="38" fillId="2" borderId="0" xfId="27" applyNumberFormat="1" applyFont="1" applyAlignment="1">
      <alignment horizontal="centerContinuous"/>
    </xf>
    <xf numFmtId="0" fontId="33" fillId="2" borderId="0" xfId="27" applyAlignment="1">
      <alignment horizontal="centerContinuous"/>
    </xf>
    <xf numFmtId="0" fontId="33" fillId="2" borderId="2" xfId="27" applyBorder="1">
      <alignment horizontal="left"/>
    </xf>
    <xf numFmtId="0" fontId="33" fillId="2" borderId="3" xfId="27" applyBorder="1">
      <alignment horizontal="left"/>
    </xf>
    <xf numFmtId="0" fontId="31" fillId="0" borderId="0" xfId="0" applyFont="1" applyAlignment="1">
      <alignment/>
    </xf>
    <xf numFmtId="0" fontId="31" fillId="0" borderId="0" xfId="0" applyFont="1" applyFill="1" applyAlignment="1">
      <alignment/>
    </xf>
    <xf numFmtId="0" fontId="32" fillId="0" borderId="1" xfId="31">
      <alignment horizontal="right"/>
    </xf>
    <xf numFmtId="1" fontId="31" fillId="0" borderId="0" xfId="33" applyFont="1">
      <alignment horizontal="right"/>
    </xf>
    <xf numFmtId="0" fontId="34" fillId="0" borderId="0" xfId="29">
      <alignment horizontal="left"/>
    </xf>
    <xf numFmtId="0" fontId="32" fillId="0" borderId="1" xfId="31" applyFont="1">
      <alignment horizontal="right"/>
    </xf>
    <xf numFmtId="2" fontId="31" fillId="0" borderId="0" xfId="17" applyNumberFormat="1" applyFont="1">
      <alignment horizontal="right"/>
    </xf>
    <xf numFmtId="2" fontId="31" fillId="0" borderId="0" xfId="18" applyNumberFormat="1" applyFont="1">
      <alignment horizontal="right"/>
    </xf>
    <xf numFmtId="185" fontId="31" fillId="0" borderId="0" xfId="19" applyFont="1">
      <alignment horizontal="left"/>
    </xf>
    <xf numFmtId="178" fontId="31" fillId="0" borderId="0" xfId="34" applyFont="1">
      <alignment horizontal="right"/>
    </xf>
    <xf numFmtId="0" fontId="29" fillId="3" borderId="0" xfId="0" applyFont="1" applyFill="1" applyBorder="1" applyAlignment="1">
      <alignment horizontal="center"/>
    </xf>
    <xf numFmtId="0" fontId="29" fillId="3" borderId="0" xfId="0" applyFont="1" applyFill="1" applyBorder="1" applyAlignment="1">
      <alignment horizontal="centerContinuous"/>
    </xf>
    <xf numFmtId="0" fontId="30" fillId="3" borderId="3" xfId="0" applyFont="1" applyFill="1" applyBorder="1" applyAlignment="1">
      <alignment/>
    </xf>
    <xf numFmtId="0" fontId="30" fillId="3" borderId="3" xfId="0" applyFont="1" applyFill="1" applyBorder="1" applyAlignment="1">
      <alignment horizontal="centerContinuous"/>
    </xf>
    <xf numFmtId="0" fontId="30" fillId="3" borderId="6" xfId="0" applyFont="1" applyFill="1" applyBorder="1" applyAlignment="1">
      <alignment horizontal="center"/>
    </xf>
    <xf numFmtId="0" fontId="30" fillId="0" borderId="7" xfId="0" applyFont="1" applyFill="1" applyBorder="1" applyAlignment="1">
      <alignment horizontal="right"/>
    </xf>
    <xf numFmtId="0" fontId="29" fillId="3" borderId="8" xfId="0" applyFont="1" applyFill="1" applyBorder="1" applyAlignment="1">
      <alignment horizontal="center"/>
    </xf>
    <xf numFmtId="0" fontId="30" fillId="3" borderId="9" xfId="0" applyFont="1" applyFill="1" applyBorder="1" applyAlignment="1">
      <alignment horizontal="center"/>
    </xf>
    <xf numFmtId="0" fontId="30" fillId="0" borderId="8" xfId="0" applyFont="1" applyFill="1" applyBorder="1" applyAlignment="1">
      <alignment horizontal="right"/>
    </xf>
    <xf numFmtId="0" fontId="29" fillId="3" borderId="7" xfId="0" applyFont="1" applyFill="1" applyBorder="1" applyAlignment="1">
      <alignment horizontal="centerContinuous"/>
    </xf>
    <xf numFmtId="0" fontId="29" fillId="3" borderId="10" xfId="0" applyFont="1" applyFill="1" applyBorder="1" applyAlignment="1">
      <alignment horizontal="centerContinuous"/>
    </xf>
    <xf numFmtId="0" fontId="30" fillId="3" borderId="11" xfId="0" applyFont="1" applyFill="1" applyBorder="1" applyAlignment="1">
      <alignment horizontal="centerContinuous"/>
    </xf>
    <xf numFmtId="0" fontId="30" fillId="0" borderId="10" xfId="0" applyFont="1" applyFill="1" applyBorder="1" applyAlignment="1">
      <alignment horizontal="right"/>
    </xf>
    <xf numFmtId="0" fontId="30" fillId="3" borderId="9" xfId="0" applyFont="1" applyFill="1" applyBorder="1" applyAlignment="1">
      <alignment horizontal="centerContinuous"/>
    </xf>
    <xf numFmtId="0" fontId="29" fillId="0" borderId="3" xfId="0" applyFont="1" applyFill="1" applyBorder="1" applyAlignment="1">
      <alignment horizontal="centerContinuous"/>
    </xf>
    <xf numFmtId="0" fontId="30" fillId="3" borderId="0" xfId="0" applyFont="1" applyFill="1" applyBorder="1" applyAlignment="1">
      <alignment horizontal="right"/>
    </xf>
    <xf numFmtId="16" fontId="30" fillId="0" borderId="8" xfId="0" applyNumberFormat="1" applyFont="1" applyFill="1" applyBorder="1" applyAlignment="1">
      <alignment horizontal="right"/>
    </xf>
    <xf numFmtId="0" fontId="30" fillId="3" borderId="3" xfId="0" applyFont="1" applyFill="1" applyBorder="1" applyAlignment="1">
      <alignment horizontal="right"/>
    </xf>
    <xf numFmtId="0" fontId="29" fillId="3" borderId="8" xfId="0" applyFont="1" applyFill="1" applyBorder="1" applyAlignment="1">
      <alignment horizontal="center" wrapText="1"/>
    </xf>
    <xf numFmtId="0" fontId="29" fillId="3" borderId="8" xfId="0" applyFont="1" applyFill="1" applyBorder="1" applyAlignment="1">
      <alignment horizontal="centerContinuous"/>
    </xf>
    <xf numFmtId="0" fontId="0" fillId="0" borderId="0" xfId="0" applyAlignment="1">
      <alignment horizontal="center"/>
    </xf>
    <xf numFmtId="0" fontId="0" fillId="0" borderId="0" xfId="0" applyNumberFormat="1" applyAlignment="1">
      <alignment horizontal="center"/>
    </xf>
    <xf numFmtId="0" fontId="0" fillId="0" borderId="0" xfId="0" applyNumberFormat="1" applyAlignment="1">
      <alignment horizontal="center" wrapText="1"/>
    </xf>
    <xf numFmtId="185" fontId="31" fillId="0" borderId="0" xfId="19" applyFont="1" applyAlignment="1">
      <alignment horizontal="center"/>
    </xf>
    <xf numFmtId="0" fontId="2" fillId="0" borderId="0" xfId="0" applyFont="1" applyAlignment="1">
      <alignment wrapText="1"/>
    </xf>
    <xf numFmtId="164" fontId="0" fillId="0" borderId="0" xfId="0" applyNumberFormat="1" applyAlignment="1">
      <alignment wrapText="1"/>
    </xf>
    <xf numFmtId="0" fontId="0" fillId="0" borderId="0" xfId="0" applyAlignment="1">
      <alignment/>
    </xf>
    <xf numFmtId="164" fontId="0" fillId="0" borderId="12" xfId="0" applyNumberFormat="1" applyBorder="1" applyAlignment="1">
      <alignment wrapText="1"/>
    </xf>
    <xf numFmtId="0" fontId="0" fillId="0" borderId="0" xfId="0" applyFont="1" applyAlignment="1">
      <alignment wrapText="1"/>
    </xf>
    <xf numFmtId="164" fontId="0" fillId="0" borderId="0" xfId="0" applyNumberFormat="1" applyFont="1" applyAlignment="1">
      <alignment wrapText="1"/>
    </xf>
    <xf numFmtId="164" fontId="0" fillId="0" borderId="12" xfId="0" applyNumberFormat="1" applyFont="1" applyBorder="1" applyAlignment="1">
      <alignment wrapText="1"/>
    </xf>
    <xf numFmtId="0" fontId="0" fillId="0" borderId="0" xfId="0" applyFont="1" applyAlignment="1">
      <alignment/>
    </xf>
    <xf numFmtId="0" fontId="0" fillId="0" borderId="12" xfId="0" applyFont="1" applyBorder="1" applyAlignment="1">
      <alignment/>
    </xf>
    <xf numFmtId="0" fontId="41" fillId="0" borderId="12" xfId="0" applyFont="1" applyFill="1" applyBorder="1" applyAlignment="1">
      <alignment wrapText="1"/>
    </xf>
    <xf numFmtId="0" fontId="0" fillId="0" borderId="12" xfId="0" applyFont="1" applyFill="1" applyBorder="1" applyAlignment="1">
      <alignment wrapText="1"/>
    </xf>
    <xf numFmtId="164" fontId="41" fillId="0" borderId="12" xfId="0" applyNumberFormat="1" applyFont="1" applyFill="1" applyBorder="1" applyAlignment="1">
      <alignment wrapText="1"/>
    </xf>
    <xf numFmtId="164" fontId="42" fillId="0" borderId="12" xfId="0" applyNumberFormat="1" applyFont="1" applyFill="1" applyBorder="1" applyAlignment="1">
      <alignment/>
    </xf>
    <xf numFmtId="0" fontId="0" fillId="0" borderId="0" xfId="0" applyFont="1" applyAlignment="1">
      <alignment/>
    </xf>
    <xf numFmtId="0" fontId="41" fillId="0" borderId="12" xfId="0" applyFont="1" applyBorder="1" applyAlignment="1">
      <alignment vertical="top" wrapText="1"/>
    </xf>
    <xf numFmtId="0" fontId="0" fillId="0" borderId="12" xfId="0" applyFont="1" applyBorder="1" applyAlignment="1">
      <alignment/>
    </xf>
    <xf numFmtId="0" fontId="0" fillId="0" borderId="12" xfId="0" applyFont="1" applyBorder="1" applyAlignment="1">
      <alignment vertical="top" wrapText="1"/>
    </xf>
    <xf numFmtId="0" fontId="0" fillId="0" borderId="12" xfId="0" applyFont="1" applyBorder="1" applyAlignment="1">
      <alignment/>
    </xf>
    <xf numFmtId="0" fontId="41" fillId="0" borderId="13" xfId="0" applyFont="1" applyFill="1" applyBorder="1" applyAlignment="1">
      <alignment wrapText="1"/>
    </xf>
    <xf numFmtId="0" fontId="0" fillId="0" borderId="0" xfId="0" applyFont="1" applyAlignment="1">
      <alignment/>
    </xf>
    <xf numFmtId="0" fontId="0" fillId="0" borderId="13" xfId="0" applyFont="1" applyBorder="1" applyAlignment="1">
      <alignment/>
    </xf>
    <xf numFmtId="0" fontId="0" fillId="0" borderId="0" xfId="0" applyFont="1" applyBorder="1" applyAlignment="1">
      <alignment/>
    </xf>
    <xf numFmtId="0" fontId="41" fillId="0" borderId="0" xfId="0" applyFont="1" applyFill="1" applyAlignment="1">
      <alignment wrapText="1"/>
    </xf>
    <xf numFmtId="0" fontId="0" fillId="0" borderId="0" xfId="0" applyFont="1" applyFill="1" applyAlignment="1">
      <alignment/>
    </xf>
    <xf numFmtId="0" fontId="0" fillId="0" borderId="0" xfId="0" applyFont="1" applyFill="1" applyAlignment="1">
      <alignment wrapText="1"/>
    </xf>
    <xf numFmtId="164" fontId="41" fillId="0" borderId="0" xfId="0" applyNumberFormat="1" applyFont="1" applyFill="1" applyAlignment="1">
      <alignment wrapText="1"/>
    </xf>
    <xf numFmtId="164" fontId="42" fillId="0" borderId="0" xfId="0" applyNumberFormat="1" applyFont="1" applyFill="1" applyAlignment="1">
      <alignment/>
    </xf>
    <xf numFmtId="0" fontId="0" fillId="0" borderId="0" xfId="0" applyFont="1" applyFill="1" applyBorder="1" applyAlignment="1">
      <alignment/>
    </xf>
    <xf numFmtId="0" fontId="0" fillId="0" borderId="0" xfId="0" applyFont="1" applyAlignment="1">
      <alignment horizontal="center"/>
    </xf>
    <xf numFmtId="0" fontId="41" fillId="0" borderId="0" xfId="0" applyFont="1" applyAlignment="1">
      <alignment vertical="top" wrapText="1"/>
    </xf>
    <xf numFmtId="0" fontId="41" fillId="0" borderId="0" xfId="0" applyFont="1" applyFill="1" applyBorder="1" applyAlignment="1">
      <alignment wrapText="1"/>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0" fillId="0" borderId="17" xfId="0" applyBorder="1" applyAlignment="1">
      <alignment/>
    </xf>
    <xf numFmtId="0" fontId="0" fillId="0" borderId="18" xfId="0" applyBorder="1" applyAlignment="1">
      <alignment/>
    </xf>
    <xf numFmtId="0" fontId="1" fillId="0" borderId="0" xfId="0" applyFont="1" applyAlignment="1">
      <alignment vertical="top" wrapText="1"/>
    </xf>
    <xf numFmtId="0" fontId="1" fillId="0" borderId="19" xfId="0" applyFont="1" applyBorder="1" applyAlignment="1">
      <alignment vertical="top" wrapText="1"/>
    </xf>
    <xf numFmtId="0" fontId="1" fillId="0" borderId="0" xfId="0" applyFont="1" applyBorder="1" applyAlignment="1">
      <alignment vertical="top" wrapText="1"/>
    </xf>
    <xf numFmtId="0" fontId="0" fillId="0" borderId="19" xfId="0" applyBorder="1" applyAlignment="1">
      <alignment/>
    </xf>
    <xf numFmtId="0" fontId="0" fillId="0" borderId="0" xfId="0" applyBorder="1" applyAlignment="1">
      <alignment/>
    </xf>
    <xf numFmtId="0" fontId="0" fillId="0" borderId="20" xfId="0" applyBorder="1" applyAlignment="1">
      <alignment/>
    </xf>
    <xf numFmtId="0" fontId="0" fillId="0" borderId="4"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18" xfId="0" applyFont="1" applyFill="1" applyBorder="1" applyAlignment="1">
      <alignment/>
    </xf>
    <xf numFmtId="0" fontId="0" fillId="0" borderId="0" xfId="0" applyFont="1" applyFill="1" applyBorder="1" applyAlignment="1">
      <alignment/>
    </xf>
    <xf numFmtId="0" fontId="0" fillId="0" borderId="4" xfId="0" applyFont="1" applyFill="1" applyBorder="1" applyAlignment="1">
      <alignment/>
    </xf>
    <xf numFmtId="0" fontId="0" fillId="0" borderId="18" xfId="0" applyFill="1" applyBorder="1" applyAlignment="1">
      <alignment/>
    </xf>
    <xf numFmtId="0" fontId="0" fillId="0" borderId="0" xfId="0" applyFill="1" applyBorder="1" applyAlignment="1">
      <alignment/>
    </xf>
    <xf numFmtId="0" fontId="0" fillId="0" borderId="4" xfId="0" applyFill="1" applyBorder="1" applyAlignment="1">
      <alignment/>
    </xf>
    <xf numFmtId="0" fontId="2" fillId="0" borderId="14" xfId="0" applyFont="1" applyBorder="1" applyAlignment="1">
      <alignment horizontal="center" wrapText="1"/>
    </xf>
    <xf numFmtId="0" fontId="2" fillId="0" borderId="15" xfId="0" applyFont="1" applyBorder="1" applyAlignment="1">
      <alignment horizontal="center" wrapText="1"/>
    </xf>
    <xf numFmtId="0" fontId="2" fillId="0" borderId="16" xfId="0" applyFont="1" applyBorder="1" applyAlignment="1">
      <alignment horizontal="center" wrapText="1"/>
    </xf>
    <xf numFmtId="2" fontId="0" fillId="0" borderId="0" xfId="0" applyNumberFormat="1" applyFont="1" applyAlignment="1">
      <alignment wrapText="1"/>
    </xf>
    <xf numFmtId="164" fontId="0" fillId="0" borderId="0" xfId="0" applyNumberFormat="1" applyAlignment="1">
      <alignment/>
    </xf>
  </cellXfs>
  <cellStyles count="22">
    <cellStyle name="Normal" xfId="0"/>
    <cellStyle name="1dp" xfId="15"/>
    <cellStyle name="3dp" xfId="16"/>
    <cellStyle name="4dp" xfId="17"/>
    <cellStyle name="CIL" xfId="18"/>
    <cellStyle name="CIU" xfId="19"/>
    <cellStyle name="Comma" xfId="20"/>
    <cellStyle name="Comma [0]" xfId="21"/>
    <cellStyle name="Currency" xfId="22"/>
    <cellStyle name="Currency [0]" xfId="23"/>
    <cellStyle name="Followed Hyperlink" xfId="24"/>
    <cellStyle name="General" xfId="25"/>
    <cellStyle name="HeaderLabel" xfId="26"/>
    <cellStyle name="HeaderText" xfId="27"/>
    <cellStyle name="Hyperlink" xfId="28"/>
    <cellStyle name="Information" xfId="29"/>
    <cellStyle name="LabelIntersect" xfId="30"/>
    <cellStyle name="LabelLeft" xfId="31"/>
    <cellStyle name="LabelTop" xfId="32"/>
    <cellStyle name="N" xfId="33"/>
    <cellStyle name="P" xfId="34"/>
    <cellStyle name="Percent" xfId="3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styles" Target="styles.xml" /><Relationship Id="rId55" Type="http://schemas.openxmlformats.org/officeDocument/2006/relationships/sharedStrings" Target="sharedStrings.xml" /><Relationship Id="rId56" Type="http://schemas.openxmlformats.org/officeDocument/2006/relationships/theme" Target="theme/theme1.xml" /></Relationships>
</file>

<file path=xl/charts/_rels/chart49.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50.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5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61.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'lipscomb compiled'!$BA$19:$BA$33</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xVal>
          <c:yVal>
            <c:numRef>
              <c:f>'lipscomb compiled'!$BB$19:$BB$33</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trendline>
            <c:trendlineType val="linear"/>
            <c:dispEq val="1"/>
            <c:dispRSqr val="1"/>
            <c:trendlineLbl>
              <c:layout>
                <c:manualLayout>
                  <c:x val="0"/>
                  <c:y val="0"/>
                </c:manualLayout>
              </c:layout>
              <c:numFmt formatCode="General"/>
            </c:trendlineLbl>
          </c:trendline>
          <c:xVal>
            <c:numRef>
              <c:f>'lipscomb compiled'!$BA$19:$BA$33</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xVal>
          <c:yVal>
            <c:numRef>
              <c:f>'lipscomb compiled'!$BC$19:$BC$33</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mooth val="0"/>
        </c:ser>
        <c:axId val="12528739"/>
        <c:axId val="45649788"/>
      </c:scatterChart>
      <c:valAx>
        <c:axId val="12528739"/>
        <c:scaling>
          <c:orientation val="minMax"/>
        </c:scaling>
        <c:axPos val="b"/>
        <c:delete val="0"/>
        <c:numFmt formatCode="General" sourceLinked="1"/>
        <c:majorTickMark val="out"/>
        <c:minorTickMark val="none"/>
        <c:tickLblPos val="nextTo"/>
        <c:crossAx val="45649788"/>
        <c:crosses val="autoZero"/>
        <c:crossBetween val="midCat"/>
        <c:dispUnits/>
      </c:valAx>
      <c:valAx>
        <c:axId val="45649788"/>
        <c:scaling>
          <c:orientation val="minMax"/>
        </c:scaling>
        <c:axPos val="l"/>
        <c:majorGridlines/>
        <c:delete val="0"/>
        <c:numFmt formatCode="General" sourceLinked="1"/>
        <c:majorTickMark val="out"/>
        <c:minorTickMark val="none"/>
        <c:tickLblPos val="nextTo"/>
        <c:crossAx val="12528739"/>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log Km</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'Zhang 2002'!$S$8:$S$12</c:f>
              <c:numCache>
                <c:ptCount val="5"/>
                <c:pt idx="0">
                  <c:v>0</c:v>
                </c:pt>
                <c:pt idx="1">
                  <c:v>0</c:v>
                </c:pt>
                <c:pt idx="2">
                  <c:v>0</c:v>
                </c:pt>
                <c:pt idx="3">
                  <c:v>0</c:v>
                </c:pt>
                <c:pt idx="4">
                  <c:v>0</c:v>
                </c:pt>
              </c:numCache>
            </c:numRef>
          </c:xVal>
          <c:yVal>
            <c:numRef>
              <c:f>'Zhang 2002'!$X$8:$X$12</c:f>
              <c:numCache>
                <c:ptCount val="5"/>
                <c:pt idx="0">
                  <c:v>0</c:v>
                </c:pt>
                <c:pt idx="1">
                  <c:v>0</c:v>
                </c:pt>
                <c:pt idx="2">
                  <c:v>0</c:v>
                </c:pt>
                <c:pt idx="3">
                  <c:v>0</c:v>
                </c:pt>
                <c:pt idx="4">
                  <c:v>0</c:v>
                </c:pt>
              </c:numCache>
            </c:numRef>
          </c:yVal>
          <c:smooth val="0"/>
        </c:ser>
        <c:axId val="49088429"/>
        <c:axId val="39142678"/>
      </c:scatterChart>
      <c:valAx>
        <c:axId val="49088429"/>
        <c:scaling>
          <c:orientation val="minMax"/>
        </c:scaling>
        <c:axPos val="b"/>
        <c:title>
          <c:tx>
            <c:rich>
              <a:bodyPr vert="horz" rot="0" anchor="ctr"/>
              <a:lstStyle/>
              <a:p>
                <a:pPr algn="ctr">
                  <a:defRPr/>
                </a:pPr>
                <a:r>
                  <a:rPr lang="en-US" cap="none" sz="975"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39142678"/>
        <c:crosses val="autoZero"/>
        <c:crossBetween val="midCat"/>
        <c:dispUnits/>
      </c:valAx>
      <c:valAx>
        <c:axId val="39142678"/>
        <c:scaling>
          <c:orientation val="minMax"/>
        </c:scaling>
        <c:axPos val="l"/>
        <c:title>
          <c:tx>
            <c:rich>
              <a:bodyPr vert="horz" rot="-5400000" anchor="ctr"/>
              <a:lstStyle/>
              <a:p>
                <a:pPr algn="ctr">
                  <a:defRPr/>
                </a:pPr>
                <a:r>
                  <a:rPr lang="en-US" cap="none" sz="975" b="1" i="0" u="none" baseline="0">
                    <a:latin typeface="Arial"/>
                    <a:ea typeface="Arial"/>
                    <a:cs typeface="Arial"/>
                  </a:rPr>
                  <a:t>log Km</a:t>
                </a:r>
              </a:p>
            </c:rich>
          </c:tx>
          <c:layout/>
          <c:overlay val="0"/>
          <c:spPr>
            <a:noFill/>
            <a:ln>
              <a:noFill/>
            </a:ln>
          </c:spPr>
        </c:title>
        <c:majorGridlines/>
        <c:delete val="0"/>
        <c:numFmt formatCode="General" sourceLinked="1"/>
        <c:majorTickMark val="out"/>
        <c:minorTickMark val="none"/>
        <c:tickLblPos val="nextTo"/>
        <c:crossAx val="49088429"/>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N-desalkylpropafenone formation</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'botsch 1992'!$P$10:$P$16</c:f>
              <c:numCache>
                <c:ptCount val="7"/>
                <c:pt idx="0">
                  <c:v>0</c:v>
                </c:pt>
                <c:pt idx="1">
                  <c:v>0</c:v>
                </c:pt>
                <c:pt idx="2">
                  <c:v>0</c:v>
                </c:pt>
                <c:pt idx="3">
                  <c:v>0</c:v>
                </c:pt>
                <c:pt idx="4">
                  <c:v>0</c:v>
                </c:pt>
                <c:pt idx="5">
                  <c:v>0</c:v>
                </c:pt>
                <c:pt idx="6">
                  <c:v>0</c:v>
                </c:pt>
              </c:numCache>
            </c:numRef>
          </c:xVal>
          <c:yVal>
            <c:numRef>
              <c:f>'botsch 1992'!$X$10:$X$16</c:f>
              <c:numCache>
                <c:ptCount val="7"/>
                <c:pt idx="0">
                  <c:v>0</c:v>
                </c:pt>
                <c:pt idx="1">
                  <c:v>0</c:v>
                </c:pt>
                <c:pt idx="2">
                  <c:v>0</c:v>
                </c:pt>
                <c:pt idx="3">
                  <c:v>0</c:v>
                </c:pt>
                <c:pt idx="4">
                  <c:v>0</c:v>
                </c:pt>
                <c:pt idx="5">
                  <c:v>0</c:v>
                </c:pt>
                <c:pt idx="6">
                  <c:v>0</c:v>
                </c:pt>
              </c:numCache>
            </c:numRef>
          </c:yVal>
          <c:smooth val="0"/>
        </c:ser>
        <c:axId val="55654769"/>
        <c:axId val="31130874"/>
      </c:scatterChart>
      <c:valAx>
        <c:axId val="55654769"/>
        <c:scaling>
          <c:orientation val="minMax"/>
        </c:scaling>
        <c:axPos val="b"/>
        <c:title>
          <c:tx>
            <c:rich>
              <a:bodyPr vert="horz" rot="0" anchor="ctr"/>
              <a:lstStyle/>
              <a:p>
                <a:pPr algn="ctr">
                  <a:defRPr/>
                </a:pPr>
                <a:r>
                  <a:rPr lang="en-US" cap="none" sz="950"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31130874"/>
        <c:crosses val="autoZero"/>
        <c:crossBetween val="midCat"/>
        <c:dispUnits/>
      </c:valAx>
      <c:valAx>
        <c:axId val="31130874"/>
        <c:scaling>
          <c:orientation val="minMax"/>
        </c:scaling>
        <c:axPos val="l"/>
        <c:title>
          <c:tx>
            <c:rich>
              <a:bodyPr vert="horz" rot="-5400000" anchor="ctr"/>
              <a:lstStyle/>
              <a:p>
                <a:pPr algn="ctr">
                  <a:defRPr/>
                </a:pPr>
                <a:r>
                  <a:rPr lang="en-US" cap="none" sz="950" b="1" i="0" u="none" baseline="0">
                    <a:latin typeface="Arial"/>
                    <a:ea typeface="Arial"/>
                    <a:cs typeface="Arial"/>
                  </a:rPr>
                  <a:t>log Cl int</a:t>
                </a:r>
              </a:p>
            </c:rich>
          </c:tx>
          <c:layout/>
          <c:overlay val="0"/>
          <c:spPr>
            <a:noFill/>
            <a:ln>
              <a:noFill/>
            </a:ln>
          </c:spPr>
        </c:title>
        <c:majorGridlines/>
        <c:delete val="0"/>
        <c:numFmt formatCode="General" sourceLinked="1"/>
        <c:majorTickMark val="out"/>
        <c:minorTickMark val="none"/>
        <c:tickLblPos val="nextTo"/>
        <c:crossAx val="55654769"/>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correlation</a:t>
            </a:r>
          </a:p>
        </c:rich>
      </c:tx>
      <c:layout/>
      <c:spPr>
        <a:noFill/>
        <a:ln>
          <a:noFill/>
        </a:ln>
      </c:spPr>
    </c:title>
    <c:plotArea>
      <c:layout/>
      <c:scatterChart>
        <c:scatterStyle val="lineMarker"/>
        <c:varyColors val="0"/>
        <c:ser>
          <c:idx val="0"/>
          <c:order val="0"/>
          <c:tx>
            <c:strRef>
              <c:f>'botsch 1992'!$AM$7</c:f>
              <c:strCache>
                <c:ptCount val="1"/>
                <c:pt idx="0">
                  <c:v>pmol/mg protein/ min</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'botsch 1992'!$AG$8:$AG$14</c:f>
              <c:numCache>
                <c:ptCount val="7"/>
                <c:pt idx="0">
                  <c:v>0</c:v>
                </c:pt>
                <c:pt idx="1">
                  <c:v>0</c:v>
                </c:pt>
                <c:pt idx="2">
                  <c:v>0</c:v>
                </c:pt>
                <c:pt idx="3">
                  <c:v>0</c:v>
                </c:pt>
                <c:pt idx="4">
                  <c:v>0</c:v>
                </c:pt>
                <c:pt idx="5">
                  <c:v>0</c:v>
                </c:pt>
                <c:pt idx="6">
                  <c:v>0</c:v>
                </c:pt>
              </c:numCache>
            </c:numRef>
          </c:xVal>
          <c:yVal>
            <c:numRef>
              <c:f>'botsch 1992'!$AM$8:$AM$14</c:f>
              <c:numCache>
                <c:ptCount val="7"/>
                <c:pt idx="0">
                  <c:v>0</c:v>
                </c:pt>
                <c:pt idx="1">
                  <c:v>0</c:v>
                </c:pt>
                <c:pt idx="2">
                  <c:v>0</c:v>
                </c:pt>
                <c:pt idx="3">
                  <c:v>0</c:v>
                </c:pt>
                <c:pt idx="4">
                  <c:v>0</c:v>
                </c:pt>
                <c:pt idx="5">
                  <c:v>0</c:v>
                </c:pt>
                <c:pt idx="6">
                  <c:v>0</c:v>
                </c:pt>
              </c:numCache>
            </c:numRef>
          </c:yVal>
          <c:smooth val="0"/>
        </c:ser>
        <c:ser>
          <c:idx val="1"/>
          <c:order val="1"/>
          <c:tx>
            <c:strRef>
              <c:f>'botsch 1992'!$AN$7</c:f>
              <c:strCache>
                <c:ptCount val="1"/>
                <c:pt idx="0">
                  <c:v>uM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trendline>
            <c:trendlineType val="linear"/>
            <c:dispEq val="1"/>
            <c:dispRSqr val="1"/>
            <c:trendlineLbl>
              <c:layout>
                <c:manualLayout>
                  <c:x val="0"/>
                  <c:y val="0"/>
                </c:manualLayout>
              </c:layout>
              <c:numFmt formatCode="General"/>
            </c:trendlineLbl>
          </c:trendline>
          <c:trendline>
            <c:trendlineType val="linear"/>
            <c:dispEq val="1"/>
            <c:dispRSqr val="1"/>
            <c:trendlineLbl>
              <c:layout>
                <c:manualLayout>
                  <c:x val="0"/>
                  <c:y val="0"/>
                </c:manualLayout>
              </c:layout>
              <c:numFmt formatCode="General"/>
            </c:trendlineLbl>
          </c:trendline>
          <c:xVal>
            <c:numRef>
              <c:f>'botsch 1992'!$AG$8:$AG$14</c:f>
              <c:numCache>
                <c:ptCount val="7"/>
                <c:pt idx="0">
                  <c:v>0</c:v>
                </c:pt>
                <c:pt idx="1">
                  <c:v>0</c:v>
                </c:pt>
                <c:pt idx="2">
                  <c:v>0</c:v>
                </c:pt>
                <c:pt idx="3">
                  <c:v>0</c:v>
                </c:pt>
                <c:pt idx="4">
                  <c:v>0</c:v>
                </c:pt>
                <c:pt idx="5">
                  <c:v>0</c:v>
                </c:pt>
                <c:pt idx="6">
                  <c:v>0</c:v>
                </c:pt>
              </c:numCache>
            </c:numRef>
          </c:xVal>
          <c:yVal>
            <c:numRef>
              <c:f>'botsch 1992'!$AN$8:$AN$14</c:f>
              <c:numCache>
                <c:ptCount val="7"/>
                <c:pt idx="0">
                  <c:v>0</c:v>
                </c:pt>
                <c:pt idx="1">
                  <c:v>0</c:v>
                </c:pt>
                <c:pt idx="2">
                  <c:v>0</c:v>
                </c:pt>
                <c:pt idx="3">
                  <c:v>0</c:v>
                </c:pt>
                <c:pt idx="4">
                  <c:v>0</c:v>
                </c:pt>
                <c:pt idx="5">
                  <c:v>0</c:v>
                </c:pt>
                <c:pt idx="6">
                  <c:v>0</c:v>
                </c:pt>
              </c:numCache>
            </c:numRef>
          </c:yVal>
          <c:smooth val="0"/>
        </c:ser>
        <c:ser>
          <c:idx val="2"/>
          <c:order val="2"/>
          <c:tx>
            <c:strRef>
              <c:f>'botsch 1992'!$AO$7</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trendline>
            <c:trendlineType val="linear"/>
            <c:dispEq val="1"/>
            <c:dispRSqr val="1"/>
            <c:trendlineLbl>
              <c:layout>
                <c:manualLayout>
                  <c:x val="0"/>
                  <c:y val="0"/>
                </c:manualLayout>
              </c:layout>
              <c:numFmt formatCode="General"/>
            </c:trendlineLbl>
          </c:trendline>
          <c:xVal>
            <c:numRef>
              <c:f>'botsch 1992'!$AG$8:$AG$14</c:f>
              <c:numCache>
                <c:ptCount val="7"/>
                <c:pt idx="0">
                  <c:v>0</c:v>
                </c:pt>
                <c:pt idx="1">
                  <c:v>0</c:v>
                </c:pt>
                <c:pt idx="2">
                  <c:v>0</c:v>
                </c:pt>
                <c:pt idx="3">
                  <c:v>0</c:v>
                </c:pt>
                <c:pt idx="4">
                  <c:v>0</c:v>
                </c:pt>
                <c:pt idx="5">
                  <c:v>0</c:v>
                </c:pt>
                <c:pt idx="6">
                  <c:v>0</c:v>
                </c:pt>
              </c:numCache>
            </c:numRef>
          </c:xVal>
          <c:yVal>
            <c:numRef>
              <c:f>'botsch 1992'!$AO$8:$AO$14</c:f>
              <c:numCache>
                <c:ptCount val="7"/>
                <c:pt idx="0">
                  <c:v>0</c:v>
                </c:pt>
                <c:pt idx="1">
                  <c:v>0</c:v>
                </c:pt>
                <c:pt idx="2">
                  <c:v>0</c:v>
                </c:pt>
                <c:pt idx="3">
                  <c:v>0</c:v>
                </c:pt>
                <c:pt idx="4">
                  <c:v>0</c:v>
                </c:pt>
                <c:pt idx="5">
                  <c:v>0</c:v>
                </c:pt>
                <c:pt idx="6">
                  <c:v>0</c:v>
                </c:pt>
              </c:numCache>
            </c:numRef>
          </c:yVal>
          <c:smooth val="0"/>
        </c:ser>
        <c:axId val="11742411"/>
        <c:axId val="38572836"/>
      </c:scatterChart>
      <c:valAx>
        <c:axId val="11742411"/>
        <c:scaling>
          <c:orientation val="minMax"/>
        </c:scaling>
        <c:axPos val="b"/>
        <c:title>
          <c:tx>
            <c:rich>
              <a:bodyPr vert="horz" rot="0" anchor="ctr"/>
              <a:lstStyle/>
              <a:p>
                <a:pPr algn="ctr">
                  <a:defRPr/>
                </a:pPr>
                <a:r>
                  <a:rPr lang="en-US" cap="none" sz="1000" b="1" i="0" u="none" baseline="0">
                    <a:latin typeface="Arial"/>
                    <a:ea typeface="Arial"/>
                    <a:cs typeface="Arial"/>
                  </a:rPr>
                  <a:t>1A2/microsome</a:t>
                </a:r>
              </a:p>
            </c:rich>
          </c:tx>
          <c:layout/>
          <c:overlay val="0"/>
          <c:spPr>
            <a:noFill/>
            <a:ln>
              <a:noFill/>
            </a:ln>
          </c:spPr>
        </c:title>
        <c:delete val="0"/>
        <c:numFmt formatCode="General" sourceLinked="1"/>
        <c:majorTickMark val="out"/>
        <c:minorTickMark val="none"/>
        <c:tickLblPos val="nextTo"/>
        <c:crossAx val="38572836"/>
        <c:crosses val="autoZero"/>
        <c:crossBetween val="midCat"/>
        <c:dispUnits/>
      </c:valAx>
      <c:valAx>
        <c:axId val="38572836"/>
        <c:scaling>
          <c:orientation val="minMax"/>
        </c:scaling>
        <c:axPos val="l"/>
        <c:title>
          <c:tx>
            <c:rich>
              <a:bodyPr vert="horz" rot="-5400000" anchor="ctr"/>
              <a:lstStyle/>
              <a:p>
                <a:pPr algn="ctr">
                  <a:defRPr/>
                </a:pPr>
                <a:r>
                  <a:rPr lang="en-US" cap="none" sz="1000" b="1" i="0" u="none" baseline="0">
                    <a:latin typeface="Arial"/>
                    <a:ea typeface="Arial"/>
                    <a:cs typeface="Arial"/>
                  </a:rPr>
                  <a:t>pk parameter</a:t>
                </a:r>
              </a:p>
            </c:rich>
          </c:tx>
          <c:layout/>
          <c:overlay val="0"/>
          <c:spPr>
            <a:noFill/>
            <a:ln>
              <a:noFill/>
            </a:ln>
          </c:spPr>
        </c:title>
        <c:majorGridlines/>
        <c:delete val="0"/>
        <c:numFmt formatCode="General" sourceLinked="1"/>
        <c:majorTickMark val="out"/>
        <c:minorTickMark val="none"/>
        <c:tickLblPos val="nextTo"/>
        <c:crossAx val="11742411"/>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Diclofenac 4' hydroxylation
Z Score log Vmax</a:t>
            </a:r>
          </a:p>
        </c:rich>
      </c:tx>
      <c:layout/>
      <c:spPr>
        <a:noFill/>
        <a:ln>
          <a:noFill/>
        </a:ln>
      </c:spPr>
    </c:title>
    <c:plotArea>
      <c:layout>
        <c:manualLayout>
          <c:xMode val="edge"/>
          <c:yMode val="edge"/>
          <c:x val="0.11225"/>
          <c:y val="0.17025"/>
          <c:w val="0.8085"/>
          <c:h val="0.830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'transon 1996'!$C$16:$C$50</c:f>
              <c:numCach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xVal>
          <c:yVal>
            <c:numRef>
              <c:f>'transon 1996'!$H$16:$H$50</c:f>
              <c:numCach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yVal>
          <c:smooth val="0"/>
        </c:ser>
        <c:axId val="11611205"/>
        <c:axId val="37391982"/>
      </c:scatterChart>
      <c:valAx>
        <c:axId val="11611205"/>
        <c:scaling>
          <c:orientation val="minMax"/>
        </c:scaling>
        <c:axPos val="b"/>
        <c:title>
          <c:tx>
            <c:rich>
              <a:bodyPr vert="horz" rot="0" anchor="ctr"/>
              <a:lstStyle/>
              <a:p>
                <a:pPr algn="ctr">
                  <a:defRPr/>
                </a:pPr>
                <a:r>
                  <a:rPr lang="en-US" cap="none" sz="1200"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37391982"/>
        <c:crosses val="autoZero"/>
        <c:crossBetween val="midCat"/>
        <c:dispUnits/>
      </c:valAx>
      <c:valAx>
        <c:axId val="37391982"/>
        <c:scaling>
          <c:orientation val="minMax"/>
        </c:scaling>
        <c:axPos val="l"/>
        <c:title>
          <c:tx>
            <c:rich>
              <a:bodyPr vert="horz" rot="0" anchor="ctr"/>
              <a:lstStyle/>
              <a:p>
                <a:pPr algn="ctr">
                  <a:defRPr/>
                </a:pPr>
                <a:r>
                  <a:rPr lang="en-US" cap="none" sz="1200" b="1" i="0" u="none" baseline="0">
                    <a:latin typeface="Arial"/>
                    <a:ea typeface="Arial"/>
                    <a:cs typeface="Arial"/>
                  </a:rPr>
                  <a:t>Log Vmax</a:t>
                </a:r>
              </a:p>
            </c:rich>
          </c:tx>
          <c:layout>
            <c:manualLayout>
              <c:xMode val="factor"/>
              <c:yMode val="factor"/>
              <c:x val="-0.00475"/>
              <c:y val="-0.00375"/>
            </c:manualLayout>
          </c:layout>
          <c:overlay val="0"/>
          <c:spPr>
            <a:noFill/>
            <a:ln>
              <a:noFill/>
            </a:ln>
          </c:spPr>
        </c:title>
        <c:majorGridlines/>
        <c:delete val="0"/>
        <c:numFmt formatCode="General" sourceLinked="1"/>
        <c:majorTickMark val="out"/>
        <c:minorTickMark val="none"/>
        <c:tickLblPos val="nextTo"/>
        <c:crossAx val="11611205"/>
        <c:crosses val="autoZero"/>
        <c:crossBetween val="midCat"/>
        <c:dispUnits/>
      </c:valAx>
      <c:spPr>
        <a:solidFill>
          <a:srgbClr val="C0C0C0"/>
        </a:solidFill>
        <a:ln w="12700">
          <a:solidFill>
            <a:srgbClr val="808080"/>
          </a:solidFill>
        </a:ln>
      </c:spPr>
    </c:plotArea>
    <c:legend>
      <c:legendPos val="r"/>
      <c:layout>
        <c:manualLayout>
          <c:xMode val="edge"/>
          <c:yMode val="edge"/>
          <c:x val="0.73"/>
          <c:y val="0.4325"/>
        </c:manualLayout>
      </c:layout>
      <c:overlay val="0"/>
    </c:legend>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charts/chart10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Diclofenac 4'hydrox</a:t>
            </a:r>
          </a:p>
        </c:rich>
      </c:tx>
      <c:layout/>
      <c:spPr>
        <a:noFill/>
        <a:ln>
          <a:noFill/>
        </a:ln>
      </c:spPr>
    </c:title>
    <c:plotArea>
      <c:layout>
        <c:manualLayout>
          <c:xMode val="edge"/>
          <c:yMode val="edge"/>
          <c:x val="0.135"/>
          <c:y val="0.18525"/>
          <c:w val="0.52325"/>
          <c:h val="0.663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'transon 1996'!$C$16:$C$50</c:f>
              <c:numCach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xVal>
          <c:yVal>
            <c:numRef>
              <c:f>'transon 1996'!$G$16:$G$50</c:f>
              <c:numCach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yVal>
          <c:smooth val="0"/>
        </c:ser>
        <c:axId val="983519"/>
        <c:axId val="8851672"/>
      </c:scatterChart>
      <c:valAx>
        <c:axId val="983519"/>
        <c:scaling>
          <c:orientation val="minMax"/>
        </c:scaling>
        <c:axPos val="b"/>
        <c:title>
          <c:tx>
            <c:rich>
              <a:bodyPr vert="horz" rot="0" anchor="ctr"/>
              <a:lstStyle/>
              <a:p>
                <a:pPr algn="ctr">
                  <a:defRPr/>
                </a:pPr>
                <a:r>
                  <a:rPr lang="en-US" cap="none" sz="1000"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8851672"/>
        <c:crosses val="autoZero"/>
        <c:crossBetween val="midCat"/>
        <c:dispUnits/>
      </c:valAx>
      <c:valAx>
        <c:axId val="8851672"/>
        <c:scaling>
          <c:orientation val="minMax"/>
        </c:scaling>
        <c:axPos val="l"/>
        <c:title>
          <c:tx>
            <c:rich>
              <a:bodyPr vert="horz" rot="0" anchor="ctr"/>
              <a:lstStyle/>
              <a:p>
                <a:pPr algn="ctr">
                  <a:defRPr/>
                </a:pPr>
                <a:r>
                  <a:rPr lang="en-US" cap="none" sz="1000" b="1" i="0" u="none" baseline="0">
                    <a:latin typeface="Arial"/>
                    <a:ea typeface="Arial"/>
                    <a:cs typeface="Arial"/>
                  </a:rPr>
                  <a:t>Vmax
</a:t>
                </a:r>
              </a:p>
            </c:rich>
          </c:tx>
          <c:layout>
            <c:manualLayout>
              <c:xMode val="factor"/>
              <c:yMode val="factor"/>
              <c:x val="0.0085"/>
              <c:y val="-0.00275"/>
            </c:manualLayout>
          </c:layout>
          <c:overlay val="0"/>
          <c:spPr>
            <a:noFill/>
            <a:ln>
              <a:noFill/>
            </a:ln>
          </c:spPr>
        </c:title>
        <c:majorGridlines/>
        <c:delete val="0"/>
        <c:numFmt formatCode="General" sourceLinked="1"/>
        <c:majorTickMark val="out"/>
        <c:minorTickMark val="none"/>
        <c:tickLblPos val="nextTo"/>
        <c:crossAx val="983519"/>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Male Only Diclofenac 4'hydrox</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'transon 1996'!$M$16:$M$30</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xVal>
          <c:yVal>
            <c:numRef>
              <c:f>'transon 1996'!$P$16:$P$30</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mooth val="0"/>
        </c:ser>
        <c:axId val="12556185"/>
        <c:axId val="45896802"/>
      </c:scatterChart>
      <c:valAx>
        <c:axId val="12556185"/>
        <c:scaling>
          <c:orientation val="minMax"/>
        </c:scaling>
        <c:axPos val="b"/>
        <c:title>
          <c:tx>
            <c:rich>
              <a:bodyPr vert="horz" rot="0" anchor="ctr"/>
              <a:lstStyle/>
              <a:p>
                <a:pPr algn="ctr">
                  <a:defRPr/>
                </a:pPr>
                <a:r>
                  <a:rPr lang="en-US" cap="none" sz="1000"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45896802"/>
        <c:crosses val="autoZero"/>
        <c:crossBetween val="midCat"/>
        <c:dispUnits/>
      </c:valAx>
      <c:valAx>
        <c:axId val="45896802"/>
        <c:scaling>
          <c:orientation val="minMax"/>
        </c:scaling>
        <c:axPos val="l"/>
        <c:title>
          <c:tx>
            <c:rich>
              <a:bodyPr vert="horz" rot="-5400000" anchor="ctr"/>
              <a:lstStyle/>
              <a:p>
                <a:pPr algn="ctr">
                  <a:defRPr/>
                </a:pPr>
                <a:r>
                  <a:rPr lang="en-US" cap="none" sz="1000" b="1" i="0" u="none" baseline="0">
                    <a:latin typeface="Arial"/>
                    <a:ea typeface="Arial"/>
                    <a:cs typeface="Arial"/>
                  </a:rPr>
                  <a:t>Vmax</a:t>
                </a:r>
              </a:p>
            </c:rich>
          </c:tx>
          <c:layout/>
          <c:overlay val="0"/>
          <c:spPr>
            <a:noFill/>
            <a:ln>
              <a:noFill/>
            </a:ln>
          </c:spPr>
        </c:title>
        <c:majorGridlines/>
        <c:delete val="0"/>
        <c:numFmt formatCode="General" sourceLinked="1"/>
        <c:majorTickMark val="out"/>
        <c:minorTickMark val="none"/>
        <c:tickLblPos val="nextTo"/>
        <c:crossAx val="12556185"/>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Male only Diclofenac 4'-hydorxy</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'transon 1996'!$M$16:$M$30</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xVal>
          <c:yVal>
            <c:numRef>
              <c:f>'transon 1996'!$Q$16:$Q$30</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mooth val="0"/>
        </c:ser>
        <c:axId val="10418035"/>
        <c:axId val="26653452"/>
      </c:scatterChart>
      <c:valAx>
        <c:axId val="10418035"/>
        <c:scaling>
          <c:orientation val="minMax"/>
        </c:scaling>
        <c:axPos val="b"/>
        <c:title>
          <c:tx>
            <c:rich>
              <a:bodyPr vert="horz" rot="0" anchor="ctr"/>
              <a:lstStyle/>
              <a:p>
                <a:pPr algn="ctr">
                  <a:defRPr/>
                </a:pPr>
                <a:r>
                  <a:rPr lang="en-US" cap="none" sz="1000"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26653452"/>
        <c:crosses val="autoZero"/>
        <c:crossBetween val="midCat"/>
        <c:dispUnits/>
      </c:valAx>
      <c:valAx>
        <c:axId val="26653452"/>
        <c:scaling>
          <c:orientation val="minMax"/>
        </c:scaling>
        <c:axPos val="l"/>
        <c:title>
          <c:tx>
            <c:rich>
              <a:bodyPr vert="horz" rot="-5400000" anchor="ctr"/>
              <a:lstStyle/>
              <a:p>
                <a:pPr algn="ctr">
                  <a:defRPr/>
                </a:pPr>
                <a:r>
                  <a:rPr lang="en-US" cap="none" sz="1000" b="1" i="0" u="none" baseline="0">
                    <a:latin typeface="Arial"/>
                    <a:ea typeface="Arial"/>
                    <a:cs typeface="Arial"/>
                  </a:rPr>
                  <a:t>log Vmax</a:t>
                </a:r>
              </a:p>
            </c:rich>
          </c:tx>
          <c:layout/>
          <c:overlay val="0"/>
          <c:spPr>
            <a:noFill/>
            <a:ln>
              <a:noFill/>
            </a:ln>
          </c:spPr>
        </c:title>
        <c:majorGridlines/>
        <c:delete val="0"/>
        <c:numFmt formatCode="General" sourceLinked="1"/>
        <c:majorTickMark val="out"/>
        <c:minorTickMark val="none"/>
        <c:tickLblPos val="nextTo"/>
        <c:crossAx val="10418035"/>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dextromethorphan O-demethylation</a:t>
            </a:r>
          </a:p>
        </c:rich>
      </c:tx>
      <c:layout>
        <c:manualLayout>
          <c:xMode val="factor"/>
          <c:yMode val="factor"/>
          <c:x val="-0.00325"/>
          <c:y val="0"/>
        </c:manualLayout>
      </c:layout>
      <c:spPr>
        <a:noFill/>
        <a:ln>
          <a:noFill/>
        </a:ln>
      </c:spPr>
    </c:title>
    <c:plotArea>
      <c:layout>
        <c:manualLayout>
          <c:xMode val="edge"/>
          <c:yMode val="edge"/>
          <c:x val="0.062"/>
          <c:y val="0.17775"/>
          <c:w val="0.8085"/>
          <c:h val="0.704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'transon 1996'!$W$16:$W$46</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xVal>
          <c:yVal>
            <c:numRef>
              <c:f>'transon 1996'!$AA$16:$AA$46</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yVal>
          <c:smooth val="0"/>
        </c:ser>
        <c:axId val="38554477"/>
        <c:axId val="11445974"/>
      </c:scatterChart>
      <c:valAx>
        <c:axId val="38554477"/>
        <c:scaling>
          <c:orientation val="minMax"/>
        </c:scaling>
        <c:axPos val="b"/>
        <c:title>
          <c:tx>
            <c:rich>
              <a:bodyPr vert="horz" rot="0" anchor="ctr"/>
              <a:lstStyle/>
              <a:p>
                <a:pPr algn="ctr">
                  <a:defRPr/>
                </a:pPr>
                <a:r>
                  <a:rPr lang="en-US" cap="none" sz="1000"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11445974"/>
        <c:crosses val="autoZero"/>
        <c:crossBetween val="midCat"/>
        <c:dispUnits/>
      </c:valAx>
      <c:valAx>
        <c:axId val="11445974"/>
        <c:scaling>
          <c:orientation val="minMax"/>
        </c:scaling>
        <c:axPos val="l"/>
        <c:title>
          <c:tx>
            <c:rich>
              <a:bodyPr vert="horz" rot="-5400000" anchor="ctr"/>
              <a:lstStyle/>
              <a:p>
                <a:pPr algn="ctr">
                  <a:defRPr/>
                </a:pPr>
                <a:r>
                  <a:rPr lang="en-US" cap="none" sz="1000" b="1" i="0" u="none" baseline="0">
                    <a:latin typeface="Arial"/>
                    <a:ea typeface="Arial"/>
                    <a:cs typeface="Arial"/>
                  </a:rPr>
                  <a:t>Vmax</a:t>
                </a:r>
              </a:p>
            </c:rich>
          </c:tx>
          <c:layout/>
          <c:overlay val="0"/>
          <c:spPr>
            <a:noFill/>
            <a:ln>
              <a:noFill/>
            </a:ln>
          </c:spPr>
        </c:title>
        <c:majorGridlines/>
        <c:delete val="0"/>
        <c:numFmt formatCode="General" sourceLinked="1"/>
        <c:majorTickMark val="out"/>
        <c:minorTickMark val="none"/>
        <c:tickLblPos val="nextTo"/>
        <c:crossAx val="38554477"/>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dextrometh O-demeth</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'transon 1996'!$W$16:$W$46</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xVal>
          <c:yVal>
            <c:numRef>
              <c:f>'transon 1996'!$AB$16:$AB$46</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yVal>
          <c:smooth val="0"/>
        </c:ser>
        <c:axId val="35904903"/>
        <c:axId val="54708672"/>
      </c:scatterChart>
      <c:valAx>
        <c:axId val="35904903"/>
        <c:scaling>
          <c:orientation val="minMax"/>
        </c:scaling>
        <c:axPos val="b"/>
        <c:title>
          <c:tx>
            <c:rich>
              <a:bodyPr vert="horz" rot="0" anchor="ctr"/>
              <a:lstStyle/>
              <a:p>
                <a:pPr algn="ctr">
                  <a:defRPr/>
                </a:pPr>
                <a:r>
                  <a:rPr lang="en-US" cap="none" sz="1000"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54708672"/>
        <c:crosses val="autoZero"/>
        <c:crossBetween val="midCat"/>
        <c:dispUnits/>
      </c:valAx>
      <c:valAx>
        <c:axId val="54708672"/>
        <c:scaling>
          <c:orientation val="minMax"/>
        </c:scaling>
        <c:axPos val="l"/>
        <c:title>
          <c:tx>
            <c:rich>
              <a:bodyPr vert="horz" rot="-5400000" anchor="ctr"/>
              <a:lstStyle/>
              <a:p>
                <a:pPr algn="ctr">
                  <a:defRPr/>
                </a:pPr>
                <a:r>
                  <a:rPr lang="en-US" cap="none" sz="1000" b="1" i="0" u="none" baseline="0">
                    <a:latin typeface="Arial"/>
                    <a:ea typeface="Arial"/>
                    <a:cs typeface="Arial"/>
                  </a:rPr>
                  <a:t>log Vmax</a:t>
                </a:r>
              </a:p>
            </c:rich>
          </c:tx>
          <c:layout/>
          <c:overlay val="0"/>
          <c:spPr>
            <a:noFill/>
            <a:ln>
              <a:noFill/>
            </a:ln>
          </c:spPr>
        </c:title>
        <c:majorGridlines/>
        <c:delete val="0"/>
        <c:numFmt formatCode="General" sourceLinked="1"/>
        <c:majorTickMark val="out"/>
        <c:minorTickMark val="none"/>
        <c:tickLblPos val="nextTo"/>
        <c:crossAx val="35904903"/>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Midazolam 1'-OH</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'transon 1996'!$AV$17:$AV$50</c:f>
              <c:numCach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xVal>
          <c:yVal>
            <c:numRef>
              <c:f>'transon 1996'!$AW$17:$AW$50</c:f>
              <c:numCach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yVal>
          <c:smooth val="0"/>
        </c:ser>
        <c:axId val="22616001"/>
        <c:axId val="2217418"/>
      </c:scatterChart>
      <c:valAx>
        <c:axId val="22616001"/>
        <c:scaling>
          <c:orientation val="minMax"/>
        </c:scaling>
        <c:axPos val="b"/>
        <c:title>
          <c:tx>
            <c:rich>
              <a:bodyPr vert="horz" rot="0" anchor="ctr"/>
              <a:lstStyle/>
              <a:p>
                <a:pPr algn="ctr">
                  <a:defRPr/>
                </a:pPr>
                <a:r>
                  <a:rPr lang="en-US" cap="none" sz="1000"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2217418"/>
        <c:crosses val="autoZero"/>
        <c:crossBetween val="midCat"/>
        <c:dispUnits/>
      </c:valAx>
      <c:valAx>
        <c:axId val="2217418"/>
        <c:scaling>
          <c:orientation val="minMax"/>
        </c:scaling>
        <c:axPos val="l"/>
        <c:title>
          <c:tx>
            <c:rich>
              <a:bodyPr vert="horz" rot="-5400000" anchor="ctr"/>
              <a:lstStyle/>
              <a:p>
                <a:pPr algn="ctr">
                  <a:defRPr/>
                </a:pPr>
                <a:r>
                  <a:rPr lang="en-US" cap="none" sz="1000" b="1" i="0" u="none" baseline="0">
                    <a:latin typeface="Arial"/>
                    <a:ea typeface="Arial"/>
                    <a:cs typeface="Arial"/>
                  </a:rPr>
                  <a:t>Vmax</a:t>
                </a:r>
              </a:p>
            </c:rich>
          </c:tx>
          <c:layout/>
          <c:overlay val="0"/>
          <c:spPr>
            <a:noFill/>
            <a:ln>
              <a:noFill/>
            </a:ln>
          </c:spPr>
        </c:title>
        <c:majorGridlines/>
        <c:delete val="0"/>
        <c:numFmt formatCode="General" sourceLinked="1"/>
        <c:majorTickMark val="out"/>
        <c:minorTickMark val="none"/>
        <c:tickLblPos val="nextTo"/>
        <c:crossAx val="22616001"/>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Midaxolam 1'-OH</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'transon 1996'!$AV$17:$AV$50</c:f>
              <c:numCach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xVal>
          <c:yVal>
            <c:numRef>
              <c:f>'transon 1996'!$AY$17:$AY$50</c:f>
              <c:numCach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yVal>
          <c:smooth val="0"/>
        </c:ser>
        <c:axId val="19956763"/>
        <c:axId val="45393140"/>
      </c:scatterChart>
      <c:valAx>
        <c:axId val="19956763"/>
        <c:scaling>
          <c:orientation val="minMax"/>
        </c:scaling>
        <c:axPos val="b"/>
        <c:title>
          <c:tx>
            <c:rich>
              <a:bodyPr vert="horz" rot="0" anchor="ctr"/>
              <a:lstStyle/>
              <a:p>
                <a:pPr algn="ctr">
                  <a:defRPr/>
                </a:pPr>
                <a:r>
                  <a:rPr lang="en-US" cap="none" sz="1000"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45393140"/>
        <c:crosses val="autoZero"/>
        <c:crossBetween val="midCat"/>
        <c:dispUnits/>
      </c:valAx>
      <c:valAx>
        <c:axId val="45393140"/>
        <c:scaling>
          <c:orientation val="minMax"/>
        </c:scaling>
        <c:axPos val="l"/>
        <c:title>
          <c:tx>
            <c:rich>
              <a:bodyPr vert="horz" rot="-5400000" anchor="ctr"/>
              <a:lstStyle/>
              <a:p>
                <a:pPr algn="ctr">
                  <a:defRPr/>
                </a:pPr>
                <a:r>
                  <a:rPr lang="en-US" cap="none" sz="1000" b="1" i="0" u="none" baseline="0">
                    <a:latin typeface="Arial"/>
                    <a:ea typeface="Arial"/>
                    <a:cs typeface="Arial"/>
                  </a:rPr>
                  <a:t>log Vmax</a:t>
                </a:r>
              </a:p>
            </c:rich>
          </c:tx>
          <c:layout/>
          <c:overlay val="0"/>
          <c:spPr>
            <a:noFill/>
            <a:ln>
              <a:noFill/>
            </a:ln>
          </c:spPr>
        </c:title>
        <c:majorGridlines/>
        <c:delete val="0"/>
        <c:numFmt formatCode="General" sourceLinked="1"/>
        <c:majorTickMark val="out"/>
        <c:minorTickMark val="none"/>
        <c:tickLblPos val="nextTo"/>
        <c:crossAx val="19956763"/>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Vmax</a:t>
            </a:r>
          </a:p>
        </c:rich>
      </c:tx>
      <c:layout/>
      <c:spPr>
        <a:noFill/>
        <a:ln>
          <a:noFill/>
        </a:ln>
      </c:spPr>
    </c:title>
    <c:plotArea>
      <c:layout>
        <c:manualLayout>
          <c:xMode val="edge"/>
          <c:yMode val="edge"/>
          <c:x val="0.2885"/>
          <c:y val="0.2775"/>
          <c:w val="0.70975"/>
          <c:h val="0.72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'Zhang 2002'!$S$9:$S$13</c:f>
              <c:numCache>
                <c:ptCount val="5"/>
                <c:pt idx="0">
                  <c:v>0</c:v>
                </c:pt>
                <c:pt idx="1">
                  <c:v>0</c:v>
                </c:pt>
                <c:pt idx="2">
                  <c:v>0</c:v>
                </c:pt>
                <c:pt idx="3">
                  <c:v>0</c:v>
                </c:pt>
                <c:pt idx="4">
                  <c:v>0</c:v>
                </c:pt>
              </c:numCache>
            </c:numRef>
          </c:xVal>
          <c:yVal>
            <c:numRef>
              <c:f>'Zhang 2002'!$V$9:$V$13</c:f>
              <c:numCache>
                <c:ptCount val="5"/>
                <c:pt idx="0">
                  <c:v>0</c:v>
                </c:pt>
                <c:pt idx="1">
                  <c:v>0</c:v>
                </c:pt>
                <c:pt idx="2">
                  <c:v>0</c:v>
                </c:pt>
                <c:pt idx="3">
                  <c:v>0</c:v>
                </c:pt>
                <c:pt idx="4">
                  <c:v>0</c:v>
                </c:pt>
              </c:numCache>
            </c:numRef>
          </c:yVal>
          <c:smooth val="0"/>
        </c:ser>
        <c:axId val="16739783"/>
        <c:axId val="16440320"/>
      </c:scatterChart>
      <c:valAx>
        <c:axId val="16739783"/>
        <c:scaling>
          <c:orientation val="minMax"/>
        </c:scaling>
        <c:axPos val="b"/>
        <c:title>
          <c:tx>
            <c:rich>
              <a:bodyPr vert="horz" rot="0" anchor="ctr"/>
              <a:lstStyle/>
              <a:p>
                <a:pPr algn="ctr">
                  <a:defRPr/>
                </a:pPr>
                <a:r>
                  <a:rPr lang="en-US" cap="none" sz="975"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16440320"/>
        <c:crosses val="autoZero"/>
        <c:crossBetween val="midCat"/>
        <c:dispUnits/>
      </c:valAx>
      <c:valAx>
        <c:axId val="16440320"/>
        <c:scaling>
          <c:orientation val="minMax"/>
        </c:scaling>
        <c:axPos val="l"/>
        <c:title>
          <c:tx>
            <c:rich>
              <a:bodyPr vert="horz" rot="-5400000" anchor="ctr"/>
              <a:lstStyle/>
              <a:p>
                <a:pPr algn="ctr">
                  <a:defRPr/>
                </a:pPr>
                <a:r>
                  <a:rPr lang="en-US" cap="none" sz="975" b="1" i="0" u="none" baseline="0">
                    <a:latin typeface="Arial"/>
                    <a:ea typeface="Arial"/>
                    <a:cs typeface="Arial"/>
                  </a:rPr>
                  <a:t>Vmax </a:t>
                </a:r>
              </a:p>
            </c:rich>
          </c:tx>
          <c:layout/>
          <c:overlay val="0"/>
          <c:spPr>
            <a:noFill/>
            <a:ln>
              <a:noFill/>
            </a:ln>
          </c:spPr>
        </c:title>
        <c:majorGridlines/>
        <c:delete val="0"/>
        <c:numFmt formatCode="General" sourceLinked="1"/>
        <c:majorTickMark val="out"/>
        <c:minorTickMark val="none"/>
        <c:tickLblPos val="nextTo"/>
        <c:crossAx val="16739783"/>
        <c:crosses val="autoZero"/>
        <c:crossBetween val="midCat"/>
        <c:dispUnits/>
      </c:valAx>
      <c:spPr>
        <a:solidFill>
          <a:srgbClr val="C0C0C0"/>
        </a:solidFill>
        <a:ln w="12700">
          <a:solidFill>
            <a:srgbClr val="808080"/>
          </a:solidFill>
        </a:ln>
      </c:spPr>
    </c:plotArea>
    <c:legend>
      <c:legendPos val="r"/>
      <c:layout>
        <c:manualLayout>
          <c:xMode val="edge"/>
          <c:yMode val="edge"/>
          <c:x val="0.7845"/>
          <c:y val="0.422"/>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1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normal</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'kumar 1994'!$Q$13:$Q$18</c:f>
              <c:numCache>
                <c:ptCount val="6"/>
                <c:pt idx="0">
                  <c:v>0</c:v>
                </c:pt>
                <c:pt idx="1">
                  <c:v>0</c:v>
                </c:pt>
                <c:pt idx="2">
                  <c:v>0</c:v>
                </c:pt>
                <c:pt idx="3">
                  <c:v>0</c:v>
                </c:pt>
                <c:pt idx="4">
                  <c:v>0</c:v>
                </c:pt>
                <c:pt idx="5">
                  <c:v>0</c:v>
                </c:pt>
              </c:numCache>
            </c:numRef>
          </c:xVal>
          <c:yVal>
            <c:numRef>
              <c:f>'kumar 1994'!$S$13:$S$18</c:f>
              <c:numCache>
                <c:ptCount val="6"/>
                <c:pt idx="0">
                  <c:v>0</c:v>
                </c:pt>
                <c:pt idx="1">
                  <c:v>0</c:v>
                </c:pt>
                <c:pt idx="2">
                  <c:v>0</c:v>
                </c:pt>
                <c:pt idx="3">
                  <c:v>0</c:v>
                </c:pt>
                <c:pt idx="4">
                  <c:v>0</c:v>
                </c:pt>
                <c:pt idx="5">
                  <c:v>0</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trendline>
            <c:trendlineType val="linear"/>
            <c:dispEq val="1"/>
            <c:dispRSqr val="1"/>
            <c:trendlineLbl>
              <c:layout>
                <c:manualLayout>
                  <c:x val="0"/>
                  <c:y val="0"/>
                </c:manualLayout>
              </c:layout>
              <c:numFmt formatCode="General"/>
            </c:trendlineLbl>
          </c:trendline>
          <c:trendline>
            <c:trendlineType val="linear"/>
            <c:dispEq val="1"/>
            <c:dispRSqr val="1"/>
            <c:trendlineLbl/>
          </c:trendline>
          <c:xVal>
            <c:numRef>
              <c:f>'kumar 1994'!$Q$13:$Q$18</c:f>
              <c:numCache>
                <c:ptCount val="6"/>
                <c:pt idx="0">
                  <c:v>0</c:v>
                </c:pt>
                <c:pt idx="1">
                  <c:v>0</c:v>
                </c:pt>
                <c:pt idx="2">
                  <c:v>0</c:v>
                </c:pt>
                <c:pt idx="3">
                  <c:v>0</c:v>
                </c:pt>
                <c:pt idx="4">
                  <c:v>0</c:v>
                </c:pt>
                <c:pt idx="5">
                  <c:v>0</c:v>
                </c:pt>
              </c:numCache>
            </c:numRef>
          </c:xVal>
          <c:yVal>
            <c:numRef>
              <c:f>'kumar 1994'!$T$13:$T$18</c:f>
              <c:numCache>
                <c:ptCount val="6"/>
                <c:pt idx="0">
                  <c:v>0</c:v>
                </c:pt>
                <c:pt idx="1">
                  <c:v>0</c:v>
                </c:pt>
                <c:pt idx="2">
                  <c:v>0</c:v>
                </c:pt>
                <c:pt idx="3">
                  <c:v>0</c:v>
                </c:pt>
                <c:pt idx="4">
                  <c:v>0</c:v>
                </c:pt>
                <c:pt idx="5">
                  <c:v>0</c:v>
                </c:pt>
              </c:numCache>
            </c:numRef>
          </c:y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trendline>
            <c:trendlineType val="linear"/>
            <c:dispEq val="1"/>
            <c:dispRSqr val="1"/>
            <c:trendlineLbl>
              <c:layout>
                <c:manualLayout>
                  <c:x val="0"/>
                  <c:y val="0"/>
                </c:manualLayout>
              </c:layout>
              <c:numFmt formatCode="General"/>
            </c:trendlineLbl>
          </c:trendline>
          <c:xVal>
            <c:numRef>
              <c:f>'kumar 1994'!$Q$13:$Q$18</c:f>
              <c:numCache>
                <c:ptCount val="6"/>
                <c:pt idx="0">
                  <c:v>0</c:v>
                </c:pt>
                <c:pt idx="1">
                  <c:v>0</c:v>
                </c:pt>
                <c:pt idx="2">
                  <c:v>0</c:v>
                </c:pt>
                <c:pt idx="3">
                  <c:v>0</c:v>
                </c:pt>
                <c:pt idx="4">
                  <c:v>0</c:v>
                </c:pt>
                <c:pt idx="5">
                  <c:v>0</c:v>
                </c:pt>
              </c:numCache>
            </c:numRef>
          </c:xVal>
          <c:yVal>
            <c:numRef>
              <c:f>'kumar 1994'!$U$13:$U$18</c:f>
              <c:numCache>
                <c:ptCount val="6"/>
                <c:pt idx="0">
                  <c:v>0</c:v>
                </c:pt>
                <c:pt idx="1">
                  <c:v>0</c:v>
                </c:pt>
                <c:pt idx="2">
                  <c:v>0</c:v>
                </c:pt>
                <c:pt idx="3">
                  <c:v>0</c:v>
                </c:pt>
                <c:pt idx="4">
                  <c:v>0</c:v>
                </c:pt>
                <c:pt idx="5">
                  <c:v>0</c:v>
                </c:pt>
              </c:numCache>
            </c:numRef>
          </c:yVal>
          <c:smooth val="0"/>
        </c:ser>
        <c:axId val="5885077"/>
        <c:axId val="52965694"/>
      </c:scatterChart>
      <c:valAx>
        <c:axId val="5885077"/>
        <c:scaling>
          <c:orientation val="minMax"/>
        </c:scaling>
        <c:axPos val="b"/>
        <c:title>
          <c:tx>
            <c:rich>
              <a:bodyPr vert="horz" rot="0" anchor="ctr"/>
              <a:lstStyle/>
              <a:p>
                <a:pPr algn="ctr">
                  <a:defRPr/>
                </a:pPr>
                <a:r>
                  <a:rPr lang="en-US" cap="none" sz="975"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52965694"/>
        <c:crosses val="autoZero"/>
        <c:crossBetween val="midCat"/>
        <c:dispUnits/>
      </c:valAx>
      <c:valAx>
        <c:axId val="52965694"/>
        <c:scaling>
          <c:orientation val="minMax"/>
        </c:scaling>
        <c:axPos val="l"/>
        <c:majorGridlines/>
        <c:delete val="0"/>
        <c:numFmt formatCode="General" sourceLinked="1"/>
        <c:majorTickMark val="out"/>
        <c:minorTickMark val="none"/>
        <c:tickLblPos val="nextTo"/>
        <c:crossAx val="5885077"/>
        <c:crosses val="autoZero"/>
        <c:crossBetween val="midCat"/>
        <c:dispUnits/>
      </c:valAx>
      <c:spPr>
        <a:solidFill>
          <a:srgbClr val="C0C0C0"/>
        </a:solidFill>
        <a:ln w="12700">
          <a:solidFill>
            <a:srgbClr val="808080"/>
          </a:solidFill>
        </a:ln>
      </c:spPr>
    </c:plotArea>
    <c:legend>
      <c:legendPos val="r"/>
      <c:legendEntry>
        <c:idx val="5"/>
        <c:delete val="1"/>
      </c:legendEntry>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1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'kumar 1994'!$Q$13:$Q$18</c:f>
              <c:numCache>
                <c:ptCount val="6"/>
                <c:pt idx="0">
                  <c:v>0</c:v>
                </c:pt>
                <c:pt idx="1">
                  <c:v>0</c:v>
                </c:pt>
                <c:pt idx="2">
                  <c:v>0</c:v>
                </c:pt>
                <c:pt idx="3">
                  <c:v>0</c:v>
                </c:pt>
                <c:pt idx="4">
                  <c:v>0</c:v>
                </c:pt>
                <c:pt idx="5">
                  <c:v>0</c:v>
                </c:pt>
              </c:numCache>
            </c:numRef>
          </c:xVal>
          <c:yVal>
            <c:numRef>
              <c:f>'kumar 1994'!$W$13:$W$18</c:f>
              <c:numCache>
                <c:ptCount val="6"/>
                <c:pt idx="0">
                  <c:v>0</c:v>
                </c:pt>
                <c:pt idx="1">
                  <c:v>0</c:v>
                </c:pt>
                <c:pt idx="2">
                  <c:v>0</c:v>
                </c:pt>
                <c:pt idx="3">
                  <c:v>0</c:v>
                </c:pt>
                <c:pt idx="4">
                  <c:v>0</c:v>
                </c:pt>
                <c:pt idx="5">
                  <c:v>0</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trendline>
            <c:trendlineType val="linear"/>
            <c:dispEq val="1"/>
            <c:dispRSqr val="1"/>
            <c:trendlineLbl>
              <c:layout>
                <c:manualLayout>
                  <c:x val="0"/>
                  <c:y val="0"/>
                </c:manualLayout>
              </c:layout>
              <c:numFmt formatCode="General"/>
            </c:trendlineLbl>
          </c:trendline>
          <c:xVal>
            <c:numRef>
              <c:f>'kumar 1994'!$Q$13:$Q$18</c:f>
              <c:numCache>
                <c:ptCount val="6"/>
                <c:pt idx="0">
                  <c:v>0</c:v>
                </c:pt>
                <c:pt idx="1">
                  <c:v>0</c:v>
                </c:pt>
                <c:pt idx="2">
                  <c:v>0</c:v>
                </c:pt>
                <c:pt idx="3">
                  <c:v>0</c:v>
                </c:pt>
                <c:pt idx="4">
                  <c:v>0</c:v>
                </c:pt>
                <c:pt idx="5">
                  <c:v>0</c:v>
                </c:pt>
              </c:numCache>
            </c:numRef>
          </c:xVal>
          <c:yVal>
            <c:numRef>
              <c:f>'kumar 1994'!$X$13:$X$18</c:f>
              <c:numCache>
                <c:ptCount val="6"/>
                <c:pt idx="0">
                  <c:v>0</c:v>
                </c:pt>
                <c:pt idx="1">
                  <c:v>0</c:v>
                </c:pt>
                <c:pt idx="2">
                  <c:v>0</c:v>
                </c:pt>
                <c:pt idx="3">
                  <c:v>0</c:v>
                </c:pt>
                <c:pt idx="4">
                  <c:v>0</c:v>
                </c:pt>
                <c:pt idx="5">
                  <c:v>0</c:v>
                </c:pt>
              </c:numCache>
            </c:numRef>
          </c:y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trendline>
            <c:trendlineType val="linear"/>
            <c:dispEq val="1"/>
            <c:dispRSqr val="1"/>
            <c:trendlineLbl>
              <c:layout>
                <c:manualLayout>
                  <c:x val="0"/>
                  <c:y val="0"/>
                </c:manualLayout>
              </c:layout>
              <c:numFmt formatCode="General"/>
            </c:trendlineLbl>
          </c:trendline>
          <c:xVal>
            <c:numRef>
              <c:f>'kumar 1994'!$Q$13:$Q$18</c:f>
              <c:numCache>
                <c:ptCount val="6"/>
                <c:pt idx="0">
                  <c:v>0</c:v>
                </c:pt>
                <c:pt idx="1">
                  <c:v>0</c:v>
                </c:pt>
                <c:pt idx="2">
                  <c:v>0</c:v>
                </c:pt>
                <c:pt idx="3">
                  <c:v>0</c:v>
                </c:pt>
                <c:pt idx="4">
                  <c:v>0</c:v>
                </c:pt>
                <c:pt idx="5">
                  <c:v>0</c:v>
                </c:pt>
              </c:numCache>
            </c:numRef>
          </c:xVal>
          <c:yVal>
            <c:numRef>
              <c:f>'kumar 1994'!$Y$13:$Y$18</c:f>
              <c:numCache>
                <c:ptCount val="6"/>
                <c:pt idx="0">
                  <c:v>0</c:v>
                </c:pt>
                <c:pt idx="1">
                  <c:v>0</c:v>
                </c:pt>
                <c:pt idx="2">
                  <c:v>0</c:v>
                </c:pt>
                <c:pt idx="3">
                  <c:v>0</c:v>
                </c:pt>
                <c:pt idx="4">
                  <c:v>0</c:v>
                </c:pt>
                <c:pt idx="5">
                  <c:v>0</c:v>
                </c:pt>
              </c:numCache>
            </c:numRef>
          </c:yVal>
          <c:smooth val="0"/>
        </c:ser>
        <c:axId val="6929199"/>
        <c:axId val="62362792"/>
      </c:scatterChart>
      <c:valAx>
        <c:axId val="6929199"/>
        <c:scaling>
          <c:orientation val="minMax"/>
        </c:scaling>
        <c:axPos val="b"/>
        <c:delete val="0"/>
        <c:numFmt formatCode="General" sourceLinked="1"/>
        <c:majorTickMark val="out"/>
        <c:minorTickMark val="none"/>
        <c:tickLblPos val="nextTo"/>
        <c:crossAx val="62362792"/>
        <c:crosses val="autoZero"/>
        <c:crossBetween val="midCat"/>
        <c:dispUnits/>
      </c:valAx>
      <c:valAx>
        <c:axId val="62362792"/>
        <c:scaling>
          <c:orientation val="minMax"/>
        </c:scaling>
        <c:axPos val="l"/>
        <c:majorGridlines/>
        <c:delete val="0"/>
        <c:numFmt formatCode="General" sourceLinked="1"/>
        <c:majorTickMark val="out"/>
        <c:minorTickMark val="none"/>
        <c:tickLblPos val="nextTo"/>
        <c:crossAx val="6929199"/>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1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AMT</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'clarke 1987'!$J$12:$J$17</c:f>
              <c:numCache>
                <c:ptCount val="6"/>
                <c:pt idx="0">
                  <c:v>0</c:v>
                </c:pt>
                <c:pt idx="1">
                  <c:v>0</c:v>
                </c:pt>
                <c:pt idx="2">
                  <c:v>0</c:v>
                </c:pt>
                <c:pt idx="3">
                  <c:v>0</c:v>
                </c:pt>
                <c:pt idx="4">
                  <c:v>0</c:v>
                </c:pt>
                <c:pt idx="5">
                  <c:v>0</c:v>
                </c:pt>
              </c:numCache>
            </c:numRef>
          </c:xVal>
          <c:yVal>
            <c:numRef>
              <c:f>'clarke 1987'!$L$12:$L$17</c:f>
              <c:numCache>
                <c:ptCount val="6"/>
                <c:pt idx="0">
                  <c:v>0</c:v>
                </c:pt>
                <c:pt idx="1">
                  <c:v>0</c:v>
                </c:pt>
                <c:pt idx="2">
                  <c:v>0</c:v>
                </c:pt>
                <c:pt idx="3">
                  <c:v>0</c:v>
                </c:pt>
                <c:pt idx="4">
                  <c:v>0</c:v>
                </c:pt>
                <c:pt idx="5">
                  <c:v>0</c:v>
                </c:pt>
              </c:numCache>
            </c:numRef>
          </c:yVal>
          <c:smooth val="0"/>
        </c:ser>
        <c:axId val="24394217"/>
        <c:axId val="18221362"/>
      </c:scatterChart>
      <c:valAx>
        <c:axId val="24394217"/>
        <c:scaling>
          <c:orientation val="minMax"/>
        </c:scaling>
        <c:axPos val="b"/>
        <c:title>
          <c:tx>
            <c:rich>
              <a:bodyPr vert="horz" rot="0" anchor="ctr"/>
              <a:lstStyle/>
              <a:p>
                <a:pPr algn="ctr">
                  <a:defRPr/>
                </a:pPr>
                <a:r>
                  <a:rPr lang="en-US" cap="none" sz="1000"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18221362"/>
        <c:crosses val="autoZero"/>
        <c:crossBetween val="midCat"/>
        <c:dispUnits/>
      </c:valAx>
      <c:valAx>
        <c:axId val="18221362"/>
        <c:scaling>
          <c:orientation val="minMax"/>
        </c:scaling>
        <c:axPos val="l"/>
        <c:title>
          <c:tx>
            <c:rich>
              <a:bodyPr vert="horz" rot="-5400000" anchor="ctr"/>
              <a:lstStyle/>
              <a:p>
                <a:pPr algn="ctr">
                  <a:defRPr/>
                </a:pPr>
                <a:r>
                  <a:rPr lang="en-US" cap="none" sz="1000" b="1" i="0" u="none" baseline="0">
                    <a:latin typeface="Arial"/>
                    <a:ea typeface="Arial"/>
                    <a:cs typeface="Arial"/>
                  </a:rPr>
                  <a:t>FPGS Activity pmol/mg/hour</a:t>
                </a:r>
              </a:p>
            </c:rich>
          </c:tx>
          <c:layout/>
          <c:overlay val="0"/>
          <c:spPr>
            <a:noFill/>
            <a:ln>
              <a:noFill/>
            </a:ln>
          </c:spPr>
        </c:title>
        <c:majorGridlines/>
        <c:delete val="0"/>
        <c:numFmt formatCode="General" sourceLinked="1"/>
        <c:majorTickMark val="out"/>
        <c:minorTickMark val="none"/>
        <c:tickLblPos val="nextTo"/>
        <c:crossAx val="24394217"/>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AMt</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'clarke 1987'!$J$12:$J$17</c:f>
              <c:numCache>
                <c:ptCount val="6"/>
                <c:pt idx="0">
                  <c:v>0</c:v>
                </c:pt>
                <c:pt idx="1">
                  <c:v>0</c:v>
                </c:pt>
                <c:pt idx="2">
                  <c:v>0</c:v>
                </c:pt>
                <c:pt idx="3">
                  <c:v>0</c:v>
                </c:pt>
                <c:pt idx="4">
                  <c:v>0</c:v>
                </c:pt>
                <c:pt idx="5">
                  <c:v>0</c:v>
                </c:pt>
              </c:numCache>
            </c:numRef>
          </c:xVal>
          <c:yVal>
            <c:numRef>
              <c:f>'clarke 1987'!$M$12:$M$17</c:f>
              <c:numCache>
                <c:ptCount val="6"/>
                <c:pt idx="0">
                  <c:v>0</c:v>
                </c:pt>
                <c:pt idx="1">
                  <c:v>0</c:v>
                </c:pt>
                <c:pt idx="2">
                  <c:v>0</c:v>
                </c:pt>
                <c:pt idx="3">
                  <c:v>0</c:v>
                </c:pt>
                <c:pt idx="4">
                  <c:v>0</c:v>
                </c:pt>
                <c:pt idx="5">
                  <c:v>0</c:v>
                </c:pt>
              </c:numCache>
            </c:numRef>
          </c:yVal>
          <c:smooth val="0"/>
        </c:ser>
        <c:axId val="29774531"/>
        <c:axId val="66644188"/>
      </c:scatterChart>
      <c:valAx>
        <c:axId val="29774531"/>
        <c:scaling>
          <c:orientation val="minMax"/>
        </c:scaling>
        <c:axPos val="b"/>
        <c:title>
          <c:tx>
            <c:rich>
              <a:bodyPr vert="horz" rot="0" anchor="ctr"/>
              <a:lstStyle/>
              <a:p>
                <a:pPr algn="ctr">
                  <a:defRPr/>
                </a:pPr>
                <a:r>
                  <a:rPr lang="en-US" cap="none" sz="1000"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66644188"/>
        <c:crosses val="autoZero"/>
        <c:crossBetween val="midCat"/>
        <c:dispUnits/>
      </c:valAx>
      <c:valAx>
        <c:axId val="66644188"/>
        <c:scaling>
          <c:orientation val="minMax"/>
        </c:scaling>
        <c:axPos val="l"/>
        <c:title>
          <c:tx>
            <c:rich>
              <a:bodyPr vert="horz" rot="-5400000" anchor="ctr"/>
              <a:lstStyle/>
              <a:p>
                <a:pPr algn="ctr">
                  <a:defRPr/>
                </a:pPr>
                <a:r>
                  <a:rPr lang="en-US" cap="none" sz="1000" b="1" i="0" u="none" baseline="0">
                    <a:latin typeface="Arial"/>
                    <a:ea typeface="Arial"/>
                    <a:cs typeface="Arial"/>
                  </a:rPr>
                  <a:t>log activity</a:t>
                </a:r>
              </a:p>
            </c:rich>
          </c:tx>
          <c:layout/>
          <c:overlay val="0"/>
          <c:spPr>
            <a:noFill/>
            <a:ln>
              <a:noFill/>
            </a:ln>
          </c:spPr>
        </c:title>
        <c:majorGridlines/>
        <c:delete val="0"/>
        <c:numFmt formatCode="General" sourceLinked="1"/>
        <c:majorTickMark val="out"/>
        <c:minorTickMark val="none"/>
        <c:tickLblPos val="nextTo"/>
        <c:crossAx val="29774531"/>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MXT</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'clarke 1987'!$J$12:$J$17</c:f>
              <c:numCache>
                <c:ptCount val="6"/>
                <c:pt idx="0">
                  <c:v>0</c:v>
                </c:pt>
                <c:pt idx="1">
                  <c:v>0</c:v>
                </c:pt>
                <c:pt idx="2">
                  <c:v>0</c:v>
                </c:pt>
                <c:pt idx="3">
                  <c:v>0</c:v>
                </c:pt>
                <c:pt idx="4">
                  <c:v>0</c:v>
                </c:pt>
                <c:pt idx="5">
                  <c:v>0</c:v>
                </c:pt>
              </c:numCache>
            </c:numRef>
          </c:xVal>
          <c:yVal>
            <c:numRef>
              <c:f>'clarke 1987'!$N$12:$N$17</c:f>
              <c:numCache>
                <c:ptCount val="6"/>
                <c:pt idx="0">
                  <c:v>0</c:v>
                </c:pt>
                <c:pt idx="1">
                  <c:v>0</c:v>
                </c:pt>
                <c:pt idx="2">
                  <c:v>0</c:v>
                </c:pt>
                <c:pt idx="3">
                  <c:v>0</c:v>
                </c:pt>
                <c:pt idx="4">
                  <c:v>0</c:v>
                </c:pt>
                <c:pt idx="5">
                  <c:v>0</c:v>
                </c:pt>
              </c:numCache>
            </c:numRef>
          </c:yVal>
          <c:smooth val="0"/>
        </c:ser>
        <c:axId val="62926781"/>
        <c:axId val="29470118"/>
      </c:scatterChart>
      <c:valAx>
        <c:axId val="62926781"/>
        <c:scaling>
          <c:orientation val="minMax"/>
        </c:scaling>
        <c:axPos val="b"/>
        <c:title>
          <c:tx>
            <c:rich>
              <a:bodyPr vert="horz" rot="0" anchor="ctr"/>
              <a:lstStyle/>
              <a:p>
                <a:pPr algn="ctr">
                  <a:defRPr/>
                </a:pPr>
                <a:r>
                  <a:rPr lang="en-US" cap="none" sz="975"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29470118"/>
        <c:crosses val="autoZero"/>
        <c:crossBetween val="midCat"/>
        <c:dispUnits/>
      </c:valAx>
      <c:valAx>
        <c:axId val="29470118"/>
        <c:scaling>
          <c:orientation val="minMax"/>
        </c:scaling>
        <c:axPos val="l"/>
        <c:title>
          <c:tx>
            <c:rich>
              <a:bodyPr vert="horz" rot="-5400000" anchor="ctr"/>
              <a:lstStyle/>
              <a:p>
                <a:pPr algn="ctr">
                  <a:defRPr/>
                </a:pPr>
                <a:r>
                  <a:rPr lang="en-US" cap="none" sz="975" b="1" i="0" u="none" baseline="0">
                    <a:latin typeface="Arial"/>
                    <a:ea typeface="Arial"/>
                    <a:cs typeface="Arial"/>
                  </a:rPr>
                  <a:t>FPGS Activity</a:t>
                </a:r>
              </a:p>
            </c:rich>
          </c:tx>
          <c:layout/>
          <c:overlay val="0"/>
          <c:spPr>
            <a:noFill/>
            <a:ln>
              <a:noFill/>
            </a:ln>
          </c:spPr>
        </c:title>
        <c:majorGridlines/>
        <c:delete val="0"/>
        <c:numFmt formatCode="General" sourceLinked="1"/>
        <c:majorTickMark val="out"/>
        <c:minorTickMark val="none"/>
        <c:tickLblPos val="nextTo"/>
        <c:crossAx val="62926781"/>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1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MXT</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tx>
                <c:rich>
                  <a:bodyPr vert="horz" rot="0" anchor="ctr"/>
                  <a:lstStyle/>
                  <a:p>
                    <a:pPr algn="ctr">
                      <a:defRPr/>
                    </a:pPr>
                    <a:r>
                      <a:rPr lang="en-US" cap="none" sz="975" b="0" i="0" u="none" baseline="0">
                        <a:latin typeface="Arial"/>
                        <a:ea typeface="Arial"/>
                        <a:cs typeface="Arial"/>
                      </a:rPr>
                      <a:t>y = 0.2265x + 2.7235
R</a:t>
                    </a:r>
                    <a:r>
                      <a:rPr lang="en-US" cap="none" sz="975" b="0" i="0" u="none" baseline="30000">
                        <a:latin typeface="Arial"/>
                        <a:ea typeface="Arial"/>
                        <a:cs typeface="Arial"/>
                      </a:rPr>
                      <a:t>2</a:t>
                    </a:r>
                    <a:r>
                      <a:rPr lang="en-US" cap="none" sz="975" b="0" i="0" u="none" baseline="0">
                        <a:latin typeface="Arial"/>
                        <a:ea typeface="Arial"/>
                        <a:cs typeface="Arial"/>
                      </a:rPr>
                      <a:t> = 0.9121</a:t>
                    </a:r>
                  </a:p>
                </c:rich>
              </c:tx>
              <c:numFmt formatCode="General" sourceLinked="1"/>
            </c:trendlineLbl>
          </c:trendline>
          <c:xVal>
            <c:numRef>
              <c:f>'clarke 1987'!$J$12:$J$17</c:f>
              <c:numCache>
                <c:ptCount val="6"/>
                <c:pt idx="0">
                  <c:v>0</c:v>
                </c:pt>
                <c:pt idx="1">
                  <c:v>0</c:v>
                </c:pt>
                <c:pt idx="2">
                  <c:v>0</c:v>
                </c:pt>
                <c:pt idx="3">
                  <c:v>0</c:v>
                </c:pt>
                <c:pt idx="4">
                  <c:v>0</c:v>
                </c:pt>
                <c:pt idx="5">
                  <c:v>0</c:v>
                </c:pt>
              </c:numCache>
            </c:numRef>
          </c:xVal>
          <c:yVal>
            <c:numRef>
              <c:f>'clarke 1987'!$O$12:$O$17</c:f>
              <c:numCache>
                <c:ptCount val="6"/>
                <c:pt idx="0">
                  <c:v>0</c:v>
                </c:pt>
                <c:pt idx="1">
                  <c:v>0</c:v>
                </c:pt>
                <c:pt idx="2">
                  <c:v>0</c:v>
                </c:pt>
                <c:pt idx="3">
                  <c:v>0</c:v>
                </c:pt>
                <c:pt idx="4">
                  <c:v>0</c:v>
                </c:pt>
                <c:pt idx="5">
                  <c:v>0</c:v>
                </c:pt>
              </c:numCache>
            </c:numRef>
          </c:yVal>
          <c:smooth val="0"/>
        </c:ser>
        <c:axId val="63904471"/>
        <c:axId val="38269328"/>
      </c:scatterChart>
      <c:valAx>
        <c:axId val="63904471"/>
        <c:scaling>
          <c:orientation val="minMax"/>
        </c:scaling>
        <c:axPos val="b"/>
        <c:title>
          <c:tx>
            <c:rich>
              <a:bodyPr vert="horz" rot="0" anchor="ctr"/>
              <a:lstStyle/>
              <a:p>
                <a:pPr algn="ctr">
                  <a:defRPr/>
                </a:pPr>
                <a:r>
                  <a:rPr lang="en-US" cap="none" sz="975"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38269328"/>
        <c:crosses val="autoZero"/>
        <c:crossBetween val="midCat"/>
        <c:dispUnits/>
      </c:valAx>
      <c:valAx>
        <c:axId val="38269328"/>
        <c:scaling>
          <c:orientation val="minMax"/>
        </c:scaling>
        <c:axPos val="l"/>
        <c:title>
          <c:tx>
            <c:rich>
              <a:bodyPr vert="horz" rot="-5400000" anchor="ctr"/>
              <a:lstStyle/>
              <a:p>
                <a:pPr algn="ctr">
                  <a:defRPr/>
                </a:pPr>
                <a:r>
                  <a:rPr lang="en-US" cap="none" sz="975" b="1" i="0" u="none" baseline="0">
                    <a:latin typeface="Arial"/>
                    <a:ea typeface="Arial"/>
                    <a:cs typeface="Arial"/>
                  </a:rPr>
                  <a:t>log FPGS Activity</a:t>
                </a:r>
              </a:p>
            </c:rich>
          </c:tx>
          <c:layout/>
          <c:overlay val="0"/>
          <c:spPr>
            <a:noFill/>
            <a:ln>
              <a:noFill/>
            </a:ln>
          </c:spPr>
        </c:title>
        <c:majorGridlines/>
        <c:delete val="0"/>
        <c:numFmt formatCode="General" sourceLinked="1"/>
        <c:majorTickMark val="out"/>
        <c:minorTickMark val="none"/>
        <c:tickLblPos val="nextTo"/>
        <c:crossAx val="63904471"/>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1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Vinyl Fluoride</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cantoreggi!$J$17:$J$26</c:f>
              <c:numCache>
                <c:ptCount val="10"/>
                <c:pt idx="0">
                  <c:v>0</c:v>
                </c:pt>
                <c:pt idx="1">
                  <c:v>0</c:v>
                </c:pt>
                <c:pt idx="2">
                  <c:v>0</c:v>
                </c:pt>
                <c:pt idx="3">
                  <c:v>0</c:v>
                </c:pt>
                <c:pt idx="4">
                  <c:v>0</c:v>
                </c:pt>
                <c:pt idx="5">
                  <c:v>0</c:v>
                </c:pt>
                <c:pt idx="6">
                  <c:v>0</c:v>
                </c:pt>
                <c:pt idx="7">
                  <c:v>0</c:v>
                </c:pt>
                <c:pt idx="8">
                  <c:v>0</c:v>
                </c:pt>
                <c:pt idx="9">
                  <c:v>0</c:v>
                </c:pt>
              </c:numCache>
            </c:numRef>
          </c:xVal>
          <c:yVal>
            <c:numRef>
              <c:f>cantoreggi!$L$17:$L$26</c:f>
              <c:numCache>
                <c:ptCount val="10"/>
                <c:pt idx="0">
                  <c:v>0</c:v>
                </c:pt>
                <c:pt idx="1">
                  <c:v>0</c:v>
                </c:pt>
                <c:pt idx="2">
                  <c:v>0</c:v>
                </c:pt>
                <c:pt idx="3">
                  <c:v>0</c:v>
                </c:pt>
                <c:pt idx="4">
                  <c:v>0</c:v>
                </c:pt>
                <c:pt idx="5">
                  <c:v>0</c:v>
                </c:pt>
                <c:pt idx="6">
                  <c:v>0</c:v>
                </c:pt>
                <c:pt idx="7">
                  <c:v>0</c:v>
                </c:pt>
                <c:pt idx="8">
                  <c:v>0</c:v>
                </c:pt>
                <c:pt idx="9">
                  <c:v>0</c:v>
                </c:pt>
              </c:numCache>
            </c:numRef>
          </c:yVal>
          <c:smooth val="0"/>
        </c:ser>
        <c:axId val="8879633"/>
        <c:axId val="12807834"/>
      </c:scatterChart>
      <c:valAx>
        <c:axId val="8879633"/>
        <c:scaling>
          <c:orientation val="minMax"/>
        </c:scaling>
        <c:axPos val="b"/>
        <c:title>
          <c:tx>
            <c:rich>
              <a:bodyPr vert="horz" rot="0" anchor="ctr"/>
              <a:lstStyle/>
              <a:p>
                <a:pPr algn="ctr">
                  <a:defRPr/>
                </a:pPr>
                <a:r>
                  <a:rPr lang="en-US" cap="none" sz="1000"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12807834"/>
        <c:crosses val="autoZero"/>
        <c:crossBetween val="midCat"/>
        <c:dispUnits/>
      </c:valAx>
      <c:valAx>
        <c:axId val="12807834"/>
        <c:scaling>
          <c:orientation val="minMax"/>
        </c:scaling>
        <c:axPos val="l"/>
        <c:title>
          <c:tx>
            <c:rich>
              <a:bodyPr vert="horz" rot="-5400000" anchor="ctr"/>
              <a:lstStyle/>
              <a:p>
                <a:pPr algn="ctr">
                  <a:defRPr/>
                </a:pPr>
                <a:r>
                  <a:rPr lang="en-US" cap="none" sz="1000" b="1" i="0" u="none" baseline="0">
                    <a:latin typeface="Arial"/>
                    <a:ea typeface="Arial"/>
                    <a:cs typeface="Arial"/>
                  </a:rPr>
                  <a:t>Vmax</a:t>
                </a:r>
              </a:p>
            </c:rich>
          </c:tx>
          <c:layout/>
          <c:overlay val="0"/>
          <c:spPr>
            <a:noFill/>
            <a:ln>
              <a:noFill/>
            </a:ln>
          </c:spPr>
        </c:title>
        <c:majorGridlines/>
        <c:delete val="0"/>
        <c:numFmt formatCode="General" sourceLinked="1"/>
        <c:majorTickMark val="out"/>
        <c:minorTickMark val="none"/>
        <c:tickLblPos val="nextTo"/>
        <c:crossAx val="8879633"/>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Vinyl Fluoride</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cantoreggi!$J$17:$J$26</c:f>
              <c:numCache>
                <c:ptCount val="10"/>
                <c:pt idx="0">
                  <c:v>0</c:v>
                </c:pt>
                <c:pt idx="1">
                  <c:v>0</c:v>
                </c:pt>
                <c:pt idx="2">
                  <c:v>0</c:v>
                </c:pt>
                <c:pt idx="3">
                  <c:v>0</c:v>
                </c:pt>
                <c:pt idx="4">
                  <c:v>0</c:v>
                </c:pt>
                <c:pt idx="5">
                  <c:v>0</c:v>
                </c:pt>
                <c:pt idx="6">
                  <c:v>0</c:v>
                </c:pt>
                <c:pt idx="7">
                  <c:v>0</c:v>
                </c:pt>
                <c:pt idx="8">
                  <c:v>0</c:v>
                </c:pt>
                <c:pt idx="9">
                  <c:v>0</c:v>
                </c:pt>
              </c:numCache>
            </c:numRef>
          </c:xVal>
          <c:yVal>
            <c:numRef>
              <c:f>cantoreggi!$N$17:$N$26</c:f>
              <c:numCache>
                <c:ptCount val="10"/>
                <c:pt idx="0">
                  <c:v>0</c:v>
                </c:pt>
                <c:pt idx="1">
                  <c:v>0</c:v>
                </c:pt>
                <c:pt idx="2">
                  <c:v>0</c:v>
                </c:pt>
                <c:pt idx="3">
                  <c:v>0</c:v>
                </c:pt>
                <c:pt idx="4">
                  <c:v>0</c:v>
                </c:pt>
                <c:pt idx="5">
                  <c:v>0</c:v>
                </c:pt>
                <c:pt idx="6">
                  <c:v>0</c:v>
                </c:pt>
                <c:pt idx="7">
                  <c:v>0</c:v>
                </c:pt>
                <c:pt idx="8">
                  <c:v>0</c:v>
                </c:pt>
                <c:pt idx="9">
                  <c:v>0</c:v>
                </c:pt>
              </c:numCache>
            </c:numRef>
          </c:yVal>
          <c:smooth val="0"/>
        </c:ser>
        <c:axId val="48161643"/>
        <c:axId val="30801604"/>
      </c:scatterChart>
      <c:valAx>
        <c:axId val="48161643"/>
        <c:scaling>
          <c:orientation val="minMax"/>
        </c:scaling>
        <c:axPos val="b"/>
        <c:title>
          <c:tx>
            <c:rich>
              <a:bodyPr vert="horz" rot="0" anchor="ctr"/>
              <a:lstStyle/>
              <a:p>
                <a:pPr algn="ctr">
                  <a:defRPr/>
                </a:pPr>
                <a:r>
                  <a:rPr lang="en-US" cap="none" sz="1000"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30801604"/>
        <c:crosses val="autoZero"/>
        <c:crossBetween val="midCat"/>
        <c:dispUnits/>
      </c:valAx>
      <c:valAx>
        <c:axId val="30801604"/>
        <c:scaling>
          <c:orientation val="minMax"/>
        </c:scaling>
        <c:axPos val="l"/>
        <c:title>
          <c:tx>
            <c:rich>
              <a:bodyPr vert="horz" rot="-5400000" anchor="ctr"/>
              <a:lstStyle/>
              <a:p>
                <a:pPr algn="ctr">
                  <a:defRPr/>
                </a:pPr>
                <a:r>
                  <a:rPr lang="en-US" cap="none" sz="1000" b="1" i="0" u="none" baseline="0">
                    <a:latin typeface="Arial"/>
                    <a:ea typeface="Arial"/>
                    <a:cs typeface="Arial"/>
                  </a:rPr>
                  <a:t>log Vmax</a:t>
                </a:r>
              </a:p>
            </c:rich>
          </c:tx>
          <c:layout/>
          <c:overlay val="0"/>
          <c:spPr>
            <a:noFill/>
            <a:ln>
              <a:noFill/>
            </a:ln>
          </c:spPr>
        </c:title>
        <c:majorGridlines/>
        <c:delete val="0"/>
        <c:numFmt formatCode="General" sourceLinked="1"/>
        <c:majorTickMark val="out"/>
        <c:minorTickMark val="none"/>
        <c:tickLblPos val="nextTo"/>
        <c:crossAx val="48161643"/>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lognorma;?</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'baker 1995'!$Q$9:$Q$18</c:f>
              <c:numCache>
                <c:ptCount val="10"/>
                <c:pt idx="0">
                  <c:v>0</c:v>
                </c:pt>
                <c:pt idx="1">
                  <c:v>0</c:v>
                </c:pt>
                <c:pt idx="2">
                  <c:v>0</c:v>
                </c:pt>
                <c:pt idx="3">
                  <c:v>0</c:v>
                </c:pt>
                <c:pt idx="4">
                  <c:v>0</c:v>
                </c:pt>
                <c:pt idx="5">
                  <c:v>0</c:v>
                </c:pt>
                <c:pt idx="6">
                  <c:v>0</c:v>
                </c:pt>
                <c:pt idx="7">
                  <c:v>0</c:v>
                </c:pt>
                <c:pt idx="8">
                  <c:v>0</c:v>
                </c:pt>
                <c:pt idx="9">
                  <c:v>0</c:v>
                </c:pt>
              </c:numCache>
            </c:numRef>
          </c:xVal>
          <c:yVal>
            <c:numRef>
              <c:f>'baker 1995'!$R$9:$R$18</c:f>
              <c:numCache>
                <c:ptCount val="10"/>
                <c:pt idx="0">
                  <c:v>0</c:v>
                </c:pt>
                <c:pt idx="1">
                  <c:v>0</c:v>
                </c:pt>
                <c:pt idx="2">
                  <c:v>0</c:v>
                </c:pt>
                <c:pt idx="3">
                  <c:v>0</c:v>
                </c:pt>
                <c:pt idx="4">
                  <c:v>0</c:v>
                </c:pt>
                <c:pt idx="5">
                  <c:v>0</c:v>
                </c:pt>
                <c:pt idx="6">
                  <c:v>0</c:v>
                </c:pt>
                <c:pt idx="7">
                  <c:v>0</c:v>
                </c:pt>
                <c:pt idx="8">
                  <c:v>0</c:v>
                </c:pt>
                <c:pt idx="9">
                  <c:v>0</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trendline>
            <c:trendlineType val="linear"/>
            <c:dispEq val="1"/>
            <c:dispRSqr val="1"/>
            <c:trendlineLbl>
              <c:layout>
                <c:manualLayout>
                  <c:x val="0"/>
                  <c:y val="0"/>
                </c:manualLayout>
              </c:layout>
              <c:numFmt formatCode="General"/>
            </c:trendlineLbl>
          </c:trendline>
          <c:xVal>
            <c:numRef>
              <c:f>'baker 1995'!$Q$9:$Q$18</c:f>
              <c:numCache>
                <c:ptCount val="10"/>
                <c:pt idx="0">
                  <c:v>0</c:v>
                </c:pt>
                <c:pt idx="1">
                  <c:v>0</c:v>
                </c:pt>
                <c:pt idx="2">
                  <c:v>0</c:v>
                </c:pt>
                <c:pt idx="3">
                  <c:v>0</c:v>
                </c:pt>
                <c:pt idx="4">
                  <c:v>0</c:v>
                </c:pt>
                <c:pt idx="5">
                  <c:v>0</c:v>
                </c:pt>
                <c:pt idx="6">
                  <c:v>0</c:v>
                </c:pt>
                <c:pt idx="7">
                  <c:v>0</c:v>
                </c:pt>
                <c:pt idx="8">
                  <c:v>0</c:v>
                </c:pt>
                <c:pt idx="9">
                  <c:v>0</c:v>
                </c:pt>
              </c:numCache>
            </c:numRef>
          </c:xVal>
          <c:yVal>
            <c:numRef>
              <c:f>'baker 1995'!$S$9:$S$18</c:f>
              <c:numCache>
                <c:ptCount val="10"/>
                <c:pt idx="0">
                  <c:v>0</c:v>
                </c:pt>
                <c:pt idx="1">
                  <c:v>0</c:v>
                </c:pt>
                <c:pt idx="2">
                  <c:v>0</c:v>
                </c:pt>
                <c:pt idx="3">
                  <c:v>0</c:v>
                </c:pt>
                <c:pt idx="4">
                  <c:v>0</c:v>
                </c:pt>
                <c:pt idx="5">
                  <c:v>0</c:v>
                </c:pt>
                <c:pt idx="6">
                  <c:v>0</c:v>
                </c:pt>
                <c:pt idx="7">
                  <c:v>0</c:v>
                </c:pt>
                <c:pt idx="8">
                  <c:v>0</c:v>
                </c:pt>
                <c:pt idx="9">
                  <c:v>0</c:v>
                </c:pt>
              </c:numCache>
            </c:numRef>
          </c:y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trendline>
            <c:trendlineType val="linear"/>
            <c:dispEq val="1"/>
            <c:dispRSqr val="1"/>
            <c:trendlineLbl>
              <c:layout>
                <c:manualLayout>
                  <c:x val="0"/>
                  <c:y val="0"/>
                </c:manualLayout>
              </c:layout>
              <c:numFmt formatCode="General"/>
            </c:trendlineLbl>
          </c:trendline>
          <c:xVal>
            <c:numRef>
              <c:f>'baker 1995'!$Q$9:$Q$18</c:f>
              <c:numCache>
                <c:ptCount val="10"/>
                <c:pt idx="0">
                  <c:v>0</c:v>
                </c:pt>
                <c:pt idx="1">
                  <c:v>0</c:v>
                </c:pt>
                <c:pt idx="2">
                  <c:v>0</c:v>
                </c:pt>
                <c:pt idx="3">
                  <c:v>0</c:v>
                </c:pt>
                <c:pt idx="4">
                  <c:v>0</c:v>
                </c:pt>
                <c:pt idx="5">
                  <c:v>0</c:v>
                </c:pt>
                <c:pt idx="6">
                  <c:v>0</c:v>
                </c:pt>
                <c:pt idx="7">
                  <c:v>0</c:v>
                </c:pt>
                <c:pt idx="8">
                  <c:v>0</c:v>
                </c:pt>
                <c:pt idx="9">
                  <c:v>0</c:v>
                </c:pt>
              </c:numCache>
            </c:numRef>
          </c:xVal>
          <c:yVal>
            <c:numRef>
              <c:f>'baker 1995'!$T$9:$T$18</c:f>
              <c:numCache>
                <c:ptCount val="10"/>
                <c:pt idx="0">
                  <c:v>0</c:v>
                </c:pt>
                <c:pt idx="1">
                  <c:v>0</c:v>
                </c:pt>
                <c:pt idx="2">
                  <c:v>0</c:v>
                </c:pt>
                <c:pt idx="3">
                  <c:v>0</c:v>
                </c:pt>
                <c:pt idx="4">
                  <c:v>0</c:v>
                </c:pt>
                <c:pt idx="5">
                  <c:v>0</c:v>
                </c:pt>
                <c:pt idx="6">
                  <c:v>0</c:v>
                </c:pt>
                <c:pt idx="7">
                  <c:v>0</c:v>
                </c:pt>
                <c:pt idx="8">
                  <c:v>0</c:v>
                </c:pt>
                <c:pt idx="9">
                  <c:v>0</c:v>
                </c:pt>
              </c:numCache>
            </c:numRef>
          </c:yVal>
          <c:smooth val="0"/>
        </c:ser>
        <c:ser>
          <c:idx val="3"/>
          <c:order val="3"/>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trendline>
            <c:trendlineType val="linear"/>
            <c:dispEq val="1"/>
            <c:dispRSqr val="1"/>
            <c:trendlineLbl>
              <c:layout>
                <c:manualLayout>
                  <c:x val="0"/>
                  <c:y val="0"/>
                </c:manualLayout>
              </c:layout>
              <c:numFmt formatCode="General"/>
            </c:trendlineLbl>
          </c:trendline>
          <c:xVal>
            <c:numRef>
              <c:f>'baker 1995'!$Q$9:$Q$18</c:f>
              <c:numCache>
                <c:ptCount val="10"/>
                <c:pt idx="0">
                  <c:v>0</c:v>
                </c:pt>
                <c:pt idx="1">
                  <c:v>0</c:v>
                </c:pt>
                <c:pt idx="2">
                  <c:v>0</c:v>
                </c:pt>
                <c:pt idx="3">
                  <c:v>0</c:v>
                </c:pt>
                <c:pt idx="4">
                  <c:v>0</c:v>
                </c:pt>
                <c:pt idx="5">
                  <c:v>0</c:v>
                </c:pt>
                <c:pt idx="6">
                  <c:v>0</c:v>
                </c:pt>
                <c:pt idx="7">
                  <c:v>0</c:v>
                </c:pt>
                <c:pt idx="8">
                  <c:v>0</c:v>
                </c:pt>
                <c:pt idx="9">
                  <c:v>0</c:v>
                </c:pt>
              </c:numCache>
            </c:numRef>
          </c:xVal>
          <c:yVal>
            <c:numRef>
              <c:f>'baker 1995'!$U$9:$U$18</c:f>
              <c:numCache>
                <c:ptCount val="10"/>
                <c:pt idx="0">
                  <c:v>0</c:v>
                </c:pt>
                <c:pt idx="1">
                  <c:v>0</c:v>
                </c:pt>
                <c:pt idx="2">
                  <c:v>0</c:v>
                </c:pt>
                <c:pt idx="3">
                  <c:v>0</c:v>
                </c:pt>
                <c:pt idx="4">
                  <c:v>0</c:v>
                </c:pt>
                <c:pt idx="5">
                  <c:v>0</c:v>
                </c:pt>
                <c:pt idx="6">
                  <c:v>0</c:v>
                </c:pt>
                <c:pt idx="7">
                  <c:v>0</c:v>
                </c:pt>
                <c:pt idx="8">
                  <c:v>0</c:v>
                </c:pt>
                <c:pt idx="9">
                  <c:v>0</c:v>
                </c:pt>
              </c:numCache>
            </c:numRef>
          </c:yVal>
          <c:smooth val="0"/>
        </c:ser>
        <c:ser>
          <c:idx val="4"/>
          <c:order val="4"/>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trendline>
            <c:trendlineType val="linear"/>
            <c:dispEq val="1"/>
            <c:dispRSqr val="1"/>
            <c:trendlineLbl>
              <c:layout>
                <c:manualLayout>
                  <c:x val="0"/>
                  <c:y val="0"/>
                </c:manualLayout>
              </c:layout>
              <c:numFmt formatCode="General"/>
            </c:trendlineLbl>
          </c:trendline>
          <c:xVal>
            <c:numRef>
              <c:f>'baker 1995'!$Q$9:$Q$18</c:f>
              <c:numCache>
                <c:ptCount val="10"/>
                <c:pt idx="0">
                  <c:v>0</c:v>
                </c:pt>
                <c:pt idx="1">
                  <c:v>0</c:v>
                </c:pt>
                <c:pt idx="2">
                  <c:v>0</c:v>
                </c:pt>
                <c:pt idx="3">
                  <c:v>0</c:v>
                </c:pt>
                <c:pt idx="4">
                  <c:v>0</c:v>
                </c:pt>
                <c:pt idx="5">
                  <c:v>0</c:v>
                </c:pt>
                <c:pt idx="6">
                  <c:v>0</c:v>
                </c:pt>
                <c:pt idx="7">
                  <c:v>0</c:v>
                </c:pt>
                <c:pt idx="8">
                  <c:v>0</c:v>
                </c:pt>
                <c:pt idx="9">
                  <c:v>0</c:v>
                </c:pt>
              </c:numCache>
            </c:numRef>
          </c:xVal>
          <c:yVal>
            <c:numRef>
              <c:f>'baker 1995'!$V$9:$V$18</c:f>
              <c:numCache>
                <c:ptCount val="10"/>
                <c:pt idx="0">
                  <c:v>0</c:v>
                </c:pt>
                <c:pt idx="1">
                  <c:v>0</c:v>
                </c:pt>
                <c:pt idx="2">
                  <c:v>0</c:v>
                </c:pt>
                <c:pt idx="3">
                  <c:v>0</c:v>
                </c:pt>
                <c:pt idx="4">
                  <c:v>0</c:v>
                </c:pt>
                <c:pt idx="5">
                  <c:v>0</c:v>
                </c:pt>
                <c:pt idx="6">
                  <c:v>0</c:v>
                </c:pt>
                <c:pt idx="7">
                  <c:v>0</c:v>
                </c:pt>
                <c:pt idx="8">
                  <c:v>0</c:v>
                </c:pt>
                <c:pt idx="9">
                  <c:v>0</c:v>
                </c:pt>
              </c:numCache>
            </c:numRef>
          </c:yVal>
          <c:smooth val="0"/>
        </c:ser>
        <c:axId val="8778981"/>
        <c:axId val="11901966"/>
      </c:scatterChart>
      <c:valAx>
        <c:axId val="8778981"/>
        <c:scaling>
          <c:orientation val="minMax"/>
        </c:scaling>
        <c:axPos val="b"/>
        <c:delete val="0"/>
        <c:numFmt formatCode="General" sourceLinked="1"/>
        <c:majorTickMark val="out"/>
        <c:minorTickMark val="none"/>
        <c:tickLblPos val="nextTo"/>
        <c:crossAx val="11901966"/>
        <c:crosses val="autoZero"/>
        <c:crossBetween val="midCat"/>
        <c:dispUnits/>
      </c:valAx>
      <c:valAx>
        <c:axId val="11901966"/>
        <c:scaling>
          <c:orientation val="minMax"/>
        </c:scaling>
        <c:axPos val="l"/>
        <c:majorGridlines/>
        <c:delete val="0"/>
        <c:numFmt formatCode="General" sourceLinked="1"/>
        <c:majorTickMark val="out"/>
        <c:minorTickMark val="none"/>
        <c:tickLblPos val="nextTo"/>
        <c:crossAx val="8778981"/>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MI and MIII</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'ward 2003'!$Q$13:$Q$23</c:f>
              <c:numCache>
                <c:ptCount val="11"/>
                <c:pt idx="0">
                  <c:v>0</c:v>
                </c:pt>
                <c:pt idx="1">
                  <c:v>0</c:v>
                </c:pt>
                <c:pt idx="2">
                  <c:v>0</c:v>
                </c:pt>
                <c:pt idx="3">
                  <c:v>0</c:v>
                </c:pt>
                <c:pt idx="4">
                  <c:v>0</c:v>
                </c:pt>
                <c:pt idx="5">
                  <c:v>0</c:v>
                </c:pt>
                <c:pt idx="6">
                  <c:v>0</c:v>
                </c:pt>
                <c:pt idx="7">
                  <c:v>0</c:v>
                </c:pt>
                <c:pt idx="8">
                  <c:v>0</c:v>
                </c:pt>
                <c:pt idx="9">
                  <c:v>0</c:v>
                </c:pt>
                <c:pt idx="10">
                  <c:v>0</c:v>
                </c:pt>
              </c:numCache>
            </c:numRef>
          </c:xVal>
          <c:yVal>
            <c:numRef>
              <c:f>'ward 2003'!$S$13:$S$23</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axId val="40008831"/>
        <c:axId val="24535160"/>
      </c:scatterChart>
      <c:valAx>
        <c:axId val="40008831"/>
        <c:scaling>
          <c:orientation val="minMax"/>
        </c:scaling>
        <c:axPos val="b"/>
        <c:title>
          <c:tx>
            <c:rich>
              <a:bodyPr vert="horz" rot="0" anchor="ctr"/>
              <a:lstStyle/>
              <a:p>
                <a:pPr algn="ctr">
                  <a:defRPr/>
                </a:pPr>
                <a:r>
                  <a:rPr lang="en-US" cap="none" sz="975"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24535160"/>
        <c:crosses val="autoZero"/>
        <c:crossBetween val="midCat"/>
        <c:dispUnits/>
      </c:valAx>
      <c:valAx>
        <c:axId val="24535160"/>
        <c:scaling>
          <c:orientation val="minMax"/>
        </c:scaling>
        <c:axPos val="l"/>
        <c:title>
          <c:tx>
            <c:rich>
              <a:bodyPr vert="horz" rot="-5400000" anchor="ctr"/>
              <a:lstStyle/>
              <a:p>
                <a:pPr algn="ctr">
                  <a:defRPr/>
                </a:pPr>
                <a:r>
                  <a:rPr lang="en-US" cap="none" sz="975" b="1" i="0" u="none" baseline="0">
                    <a:latin typeface="Arial"/>
                    <a:ea typeface="Arial"/>
                    <a:cs typeface="Arial"/>
                  </a:rPr>
                  <a:t>V</a:t>
                </a:r>
              </a:p>
            </c:rich>
          </c:tx>
          <c:layout/>
          <c:overlay val="0"/>
          <c:spPr>
            <a:noFill/>
            <a:ln>
              <a:noFill/>
            </a:ln>
          </c:spPr>
        </c:title>
        <c:majorGridlines/>
        <c:delete val="0"/>
        <c:numFmt formatCode="General" sourceLinked="1"/>
        <c:majorTickMark val="out"/>
        <c:minorTickMark val="none"/>
        <c:tickLblPos val="nextTo"/>
        <c:crossAx val="40008831"/>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Log Vmax</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'Zhang 2002'!$S$8:$S$12</c:f>
              <c:numCache>
                <c:ptCount val="5"/>
                <c:pt idx="0">
                  <c:v>0</c:v>
                </c:pt>
                <c:pt idx="1">
                  <c:v>0</c:v>
                </c:pt>
                <c:pt idx="2">
                  <c:v>0</c:v>
                </c:pt>
                <c:pt idx="3">
                  <c:v>0</c:v>
                </c:pt>
                <c:pt idx="4">
                  <c:v>0</c:v>
                </c:pt>
              </c:numCache>
            </c:numRef>
          </c:xVal>
          <c:yVal>
            <c:numRef>
              <c:f>'Zhang 2002'!$Y$8:$Y$12</c:f>
              <c:numCache>
                <c:ptCount val="5"/>
                <c:pt idx="0">
                  <c:v>0</c:v>
                </c:pt>
                <c:pt idx="1">
                  <c:v>0</c:v>
                </c:pt>
                <c:pt idx="2">
                  <c:v>0</c:v>
                </c:pt>
                <c:pt idx="3">
                  <c:v>0</c:v>
                </c:pt>
                <c:pt idx="4">
                  <c:v>0</c:v>
                </c:pt>
              </c:numCache>
            </c:numRef>
          </c:yVal>
          <c:smooth val="0"/>
        </c:ser>
        <c:axId val="13745153"/>
        <c:axId val="56597514"/>
      </c:scatterChart>
      <c:valAx>
        <c:axId val="13745153"/>
        <c:scaling>
          <c:orientation val="minMax"/>
        </c:scaling>
        <c:axPos val="b"/>
        <c:title>
          <c:tx>
            <c:rich>
              <a:bodyPr vert="horz" rot="0" anchor="ctr"/>
              <a:lstStyle/>
              <a:p>
                <a:pPr algn="ctr">
                  <a:defRPr/>
                </a:pPr>
                <a:r>
                  <a:rPr lang="en-US" cap="none" sz="975"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56597514"/>
        <c:crosses val="autoZero"/>
        <c:crossBetween val="midCat"/>
        <c:dispUnits/>
      </c:valAx>
      <c:valAx>
        <c:axId val="56597514"/>
        <c:scaling>
          <c:orientation val="minMax"/>
        </c:scaling>
        <c:axPos val="l"/>
        <c:title>
          <c:tx>
            <c:rich>
              <a:bodyPr vert="horz" rot="-5400000" anchor="ctr"/>
              <a:lstStyle/>
              <a:p>
                <a:pPr algn="ctr">
                  <a:defRPr/>
                </a:pPr>
                <a:r>
                  <a:rPr lang="en-US" cap="none" sz="975" b="1" i="0" u="none" baseline="0">
                    <a:latin typeface="Arial"/>
                    <a:ea typeface="Arial"/>
                    <a:cs typeface="Arial"/>
                  </a:rPr>
                  <a:t>log Vmax</a:t>
                </a:r>
              </a:p>
            </c:rich>
          </c:tx>
          <c:layout/>
          <c:overlay val="0"/>
          <c:spPr>
            <a:noFill/>
            <a:ln>
              <a:noFill/>
            </a:ln>
          </c:spPr>
        </c:title>
        <c:majorGridlines/>
        <c:delete val="0"/>
        <c:numFmt formatCode="General" sourceLinked="1"/>
        <c:majorTickMark val="out"/>
        <c:minorTickMark val="none"/>
        <c:tickLblPos val="nextTo"/>
        <c:crossAx val="13745153"/>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1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MI and MIII</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'ward 2003'!$Q$13:$Q$23</c:f>
              <c:numCache>
                <c:ptCount val="11"/>
                <c:pt idx="0">
                  <c:v>0</c:v>
                </c:pt>
                <c:pt idx="1">
                  <c:v>0</c:v>
                </c:pt>
                <c:pt idx="2">
                  <c:v>0</c:v>
                </c:pt>
                <c:pt idx="3">
                  <c:v>0</c:v>
                </c:pt>
                <c:pt idx="4">
                  <c:v>0</c:v>
                </c:pt>
                <c:pt idx="5">
                  <c:v>0</c:v>
                </c:pt>
                <c:pt idx="6">
                  <c:v>0</c:v>
                </c:pt>
                <c:pt idx="7">
                  <c:v>0</c:v>
                </c:pt>
                <c:pt idx="8">
                  <c:v>0</c:v>
                </c:pt>
                <c:pt idx="9">
                  <c:v>0</c:v>
                </c:pt>
                <c:pt idx="10">
                  <c:v>0</c:v>
                </c:pt>
              </c:numCache>
            </c:numRef>
          </c:xVal>
          <c:yVal>
            <c:numRef>
              <c:f>'ward 2003'!$V$13:$V$23</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axId val="19489849"/>
        <c:axId val="41190914"/>
      </c:scatterChart>
      <c:valAx>
        <c:axId val="19489849"/>
        <c:scaling>
          <c:orientation val="minMax"/>
        </c:scaling>
        <c:axPos val="b"/>
        <c:title>
          <c:tx>
            <c:rich>
              <a:bodyPr vert="horz" rot="0" anchor="ctr"/>
              <a:lstStyle/>
              <a:p>
                <a:pPr algn="ctr">
                  <a:defRPr/>
                </a:pPr>
                <a:r>
                  <a:rPr lang="en-US" cap="none" sz="975"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41190914"/>
        <c:crosses val="autoZero"/>
        <c:crossBetween val="midCat"/>
        <c:dispUnits/>
      </c:valAx>
      <c:valAx>
        <c:axId val="41190914"/>
        <c:scaling>
          <c:orientation val="minMax"/>
        </c:scaling>
        <c:axPos val="l"/>
        <c:title>
          <c:tx>
            <c:rich>
              <a:bodyPr vert="horz" rot="-5400000" anchor="ctr"/>
              <a:lstStyle/>
              <a:p>
                <a:pPr algn="ctr">
                  <a:defRPr/>
                </a:pPr>
                <a:r>
                  <a:rPr lang="en-US" cap="none" sz="975" b="1" i="0" u="none" baseline="0">
                    <a:latin typeface="Arial"/>
                    <a:ea typeface="Arial"/>
                    <a:cs typeface="Arial"/>
                  </a:rPr>
                  <a:t>log V</a:t>
                </a:r>
              </a:p>
            </c:rich>
          </c:tx>
          <c:layout/>
          <c:overlay val="0"/>
          <c:spPr>
            <a:noFill/>
            <a:ln>
              <a:noFill/>
            </a:ln>
          </c:spPr>
        </c:title>
        <c:majorGridlines/>
        <c:delete val="0"/>
        <c:numFmt formatCode="General" sourceLinked="1"/>
        <c:majorTickMark val="out"/>
        <c:minorTickMark val="none"/>
        <c:tickLblPos val="nextTo"/>
        <c:crossAx val="19489849"/>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1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MI</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'ward 2003'!$Q$13:$Q$23</c:f>
              <c:numCache>
                <c:ptCount val="11"/>
                <c:pt idx="0">
                  <c:v>0</c:v>
                </c:pt>
                <c:pt idx="1">
                  <c:v>0</c:v>
                </c:pt>
                <c:pt idx="2">
                  <c:v>0</c:v>
                </c:pt>
                <c:pt idx="3">
                  <c:v>0</c:v>
                </c:pt>
                <c:pt idx="4">
                  <c:v>0</c:v>
                </c:pt>
                <c:pt idx="5">
                  <c:v>0</c:v>
                </c:pt>
                <c:pt idx="6">
                  <c:v>0</c:v>
                </c:pt>
                <c:pt idx="7">
                  <c:v>0</c:v>
                </c:pt>
                <c:pt idx="8">
                  <c:v>0</c:v>
                </c:pt>
                <c:pt idx="9">
                  <c:v>0</c:v>
                </c:pt>
                <c:pt idx="10">
                  <c:v>0</c:v>
                </c:pt>
              </c:numCache>
            </c:numRef>
          </c:xVal>
          <c:yVal>
            <c:numRef>
              <c:f>'ward 2003'!$T$13:$T$23</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axId val="35173907"/>
        <c:axId val="48129708"/>
      </c:scatterChart>
      <c:valAx>
        <c:axId val="35173907"/>
        <c:scaling>
          <c:orientation val="minMax"/>
        </c:scaling>
        <c:axPos val="b"/>
        <c:title>
          <c:tx>
            <c:rich>
              <a:bodyPr vert="horz" rot="0" anchor="ctr"/>
              <a:lstStyle/>
              <a:p>
                <a:pPr algn="ctr">
                  <a:defRPr/>
                </a:pPr>
                <a:r>
                  <a:rPr lang="en-US" cap="none" sz="975"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48129708"/>
        <c:crosses val="autoZero"/>
        <c:crossBetween val="midCat"/>
        <c:dispUnits/>
      </c:valAx>
      <c:valAx>
        <c:axId val="48129708"/>
        <c:scaling>
          <c:orientation val="minMax"/>
        </c:scaling>
        <c:axPos val="l"/>
        <c:title>
          <c:tx>
            <c:rich>
              <a:bodyPr vert="horz" rot="-5400000" anchor="ctr"/>
              <a:lstStyle/>
              <a:p>
                <a:pPr algn="ctr">
                  <a:defRPr/>
                </a:pPr>
                <a:r>
                  <a:rPr lang="en-US" cap="none" sz="975" b="1" i="0" u="none" baseline="0">
                    <a:latin typeface="Arial"/>
                    <a:ea typeface="Arial"/>
                    <a:cs typeface="Arial"/>
                  </a:rPr>
                  <a:t>V</a:t>
                </a:r>
              </a:p>
            </c:rich>
          </c:tx>
          <c:layout/>
          <c:overlay val="0"/>
          <c:spPr>
            <a:noFill/>
            <a:ln>
              <a:noFill/>
            </a:ln>
          </c:spPr>
        </c:title>
        <c:majorGridlines/>
        <c:delete val="0"/>
        <c:numFmt formatCode="General" sourceLinked="1"/>
        <c:majorTickMark val="out"/>
        <c:minorTickMark val="none"/>
        <c:tickLblPos val="nextTo"/>
        <c:crossAx val="35173907"/>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1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MI</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'ward 2003'!$Q$13:$Q$23</c:f>
              <c:numCache>
                <c:ptCount val="11"/>
                <c:pt idx="0">
                  <c:v>0</c:v>
                </c:pt>
                <c:pt idx="1">
                  <c:v>0</c:v>
                </c:pt>
                <c:pt idx="2">
                  <c:v>0</c:v>
                </c:pt>
                <c:pt idx="3">
                  <c:v>0</c:v>
                </c:pt>
                <c:pt idx="4">
                  <c:v>0</c:v>
                </c:pt>
                <c:pt idx="5">
                  <c:v>0</c:v>
                </c:pt>
                <c:pt idx="6">
                  <c:v>0</c:v>
                </c:pt>
                <c:pt idx="7">
                  <c:v>0</c:v>
                </c:pt>
                <c:pt idx="8">
                  <c:v>0</c:v>
                </c:pt>
                <c:pt idx="9">
                  <c:v>0</c:v>
                </c:pt>
                <c:pt idx="10">
                  <c:v>0</c:v>
                </c:pt>
              </c:numCache>
            </c:numRef>
          </c:xVal>
          <c:yVal>
            <c:numRef>
              <c:f>'ward 2003'!$W$13:$W$23</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axId val="30514189"/>
        <c:axId val="6192246"/>
      </c:scatterChart>
      <c:valAx>
        <c:axId val="30514189"/>
        <c:scaling>
          <c:orientation val="minMax"/>
        </c:scaling>
        <c:axPos val="b"/>
        <c:title>
          <c:tx>
            <c:rich>
              <a:bodyPr vert="horz" rot="0" anchor="ctr"/>
              <a:lstStyle/>
              <a:p>
                <a:pPr algn="ctr">
                  <a:defRPr/>
                </a:pPr>
                <a:r>
                  <a:rPr lang="en-US" cap="none" sz="975"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6192246"/>
        <c:crosses val="autoZero"/>
        <c:crossBetween val="midCat"/>
        <c:dispUnits/>
      </c:valAx>
      <c:valAx>
        <c:axId val="6192246"/>
        <c:scaling>
          <c:orientation val="minMax"/>
        </c:scaling>
        <c:axPos val="l"/>
        <c:title>
          <c:tx>
            <c:rich>
              <a:bodyPr vert="horz" rot="-5400000" anchor="ctr"/>
              <a:lstStyle/>
              <a:p>
                <a:pPr algn="ctr">
                  <a:defRPr/>
                </a:pPr>
                <a:r>
                  <a:rPr lang="en-US" cap="none" sz="975" b="1" i="0" u="none" baseline="0">
                    <a:latin typeface="Arial"/>
                    <a:ea typeface="Arial"/>
                    <a:cs typeface="Arial"/>
                  </a:rPr>
                  <a:t>log V</a:t>
                </a:r>
              </a:p>
            </c:rich>
          </c:tx>
          <c:layout/>
          <c:overlay val="0"/>
          <c:spPr>
            <a:noFill/>
            <a:ln>
              <a:noFill/>
            </a:ln>
          </c:spPr>
        </c:title>
        <c:majorGridlines/>
        <c:delete val="0"/>
        <c:numFmt formatCode="General" sourceLinked="1"/>
        <c:majorTickMark val="out"/>
        <c:minorTickMark val="none"/>
        <c:tickLblPos val="nextTo"/>
        <c:crossAx val="30514189"/>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1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MIII</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'ward 2003'!$Q$13:$Q$23</c:f>
              <c:numCache>
                <c:ptCount val="11"/>
                <c:pt idx="0">
                  <c:v>0</c:v>
                </c:pt>
                <c:pt idx="1">
                  <c:v>0</c:v>
                </c:pt>
                <c:pt idx="2">
                  <c:v>0</c:v>
                </c:pt>
                <c:pt idx="3">
                  <c:v>0</c:v>
                </c:pt>
                <c:pt idx="4">
                  <c:v>0</c:v>
                </c:pt>
                <c:pt idx="5">
                  <c:v>0</c:v>
                </c:pt>
                <c:pt idx="6">
                  <c:v>0</c:v>
                </c:pt>
                <c:pt idx="7">
                  <c:v>0</c:v>
                </c:pt>
                <c:pt idx="8">
                  <c:v>0</c:v>
                </c:pt>
                <c:pt idx="9">
                  <c:v>0</c:v>
                </c:pt>
                <c:pt idx="10">
                  <c:v>0</c:v>
                </c:pt>
              </c:numCache>
            </c:numRef>
          </c:xVal>
          <c:yVal>
            <c:numRef>
              <c:f>'ward 2003'!$U$13:$U$23</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axId val="55730215"/>
        <c:axId val="31809888"/>
      </c:scatterChart>
      <c:valAx>
        <c:axId val="55730215"/>
        <c:scaling>
          <c:orientation val="minMax"/>
        </c:scaling>
        <c:axPos val="b"/>
        <c:title>
          <c:tx>
            <c:rich>
              <a:bodyPr vert="horz" rot="0" anchor="ctr"/>
              <a:lstStyle/>
              <a:p>
                <a:pPr algn="ctr">
                  <a:defRPr/>
                </a:pPr>
                <a:r>
                  <a:rPr lang="en-US" cap="none" sz="975"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31809888"/>
        <c:crosses val="autoZero"/>
        <c:crossBetween val="midCat"/>
        <c:dispUnits/>
      </c:valAx>
      <c:valAx>
        <c:axId val="31809888"/>
        <c:scaling>
          <c:orientation val="minMax"/>
        </c:scaling>
        <c:axPos val="l"/>
        <c:title>
          <c:tx>
            <c:rich>
              <a:bodyPr vert="horz" rot="-5400000" anchor="ctr"/>
              <a:lstStyle/>
              <a:p>
                <a:pPr algn="ctr">
                  <a:defRPr/>
                </a:pPr>
                <a:r>
                  <a:rPr lang="en-US" cap="none" sz="975" b="1" i="0" u="none" baseline="0">
                    <a:latin typeface="Arial"/>
                    <a:ea typeface="Arial"/>
                    <a:cs typeface="Arial"/>
                  </a:rPr>
                  <a:t>V</a:t>
                </a:r>
              </a:p>
            </c:rich>
          </c:tx>
          <c:layout/>
          <c:overlay val="0"/>
          <c:spPr>
            <a:noFill/>
            <a:ln>
              <a:noFill/>
            </a:ln>
          </c:spPr>
        </c:title>
        <c:majorGridlines/>
        <c:delete val="0"/>
        <c:numFmt formatCode="General" sourceLinked="1"/>
        <c:majorTickMark val="out"/>
        <c:minorTickMark val="none"/>
        <c:tickLblPos val="nextTo"/>
        <c:crossAx val="55730215"/>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1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MIII</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'ward 2003'!$Q$13:$Q$23</c:f>
              <c:numCache>
                <c:ptCount val="11"/>
                <c:pt idx="0">
                  <c:v>0</c:v>
                </c:pt>
                <c:pt idx="1">
                  <c:v>0</c:v>
                </c:pt>
                <c:pt idx="2">
                  <c:v>0</c:v>
                </c:pt>
                <c:pt idx="3">
                  <c:v>0</c:v>
                </c:pt>
                <c:pt idx="4">
                  <c:v>0</c:v>
                </c:pt>
                <c:pt idx="5">
                  <c:v>0</c:v>
                </c:pt>
                <c:pt idx="6">
                  <c:v>0</c:v>
                </c:pt>
                <c:pt idx="7">
                  <c:v>0</c:v>
                </c:pt>
                <c:pt idx="8">
                  <c:v>0</c:v>
                </c:pt>
                <c:pt idx="9">
                  <c:v>0</c:v>
                </c:pt>
                <c:pt idx="10">
                  <c:v>0</c:v>
                </c:pt>
              </c:numCache>
            </c:numRef>
          </c:xVal>
          <c:yVal>
            <c:numRef>
              <c:f>'ward 2003'!$X$13:$X$23</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axId val="17853537"/>
        <c:axId val="26464106"/>
      </c:scatterChart>
      <c:valAx>
        <c:axId val="17853537"/>
        <c:scaling>
          <c:orientation val="minMax"/>
        </c:scaling>
        <c:axPos val="b"/>
        <c:title>
          <c:tx>
            <c:rich>
              <a:bodyPr vert="horz" rot="0" anchor="ctr"/>
              <a:lstStyle/>
              <a:p>
                <a:pPr algn="ctr">
                  <a:defRPr/>
                </a:pPr>
                <a:r>
                  <a:rPr lang="en-US" cap="none" sz="975"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26464106"/>
        <c:crosses val="autoZero"/>
        <c:crossBetween val="midCat"/>
        <c:dispUnits/>
      </c:valAx>
      <c:valAx>
        <c:axId val="26464106"/>
        <c:scaling>
          <c:orientation val="minMax"/>
        </c:scaling>
        <c:axPos val="l"/>
        <c:title>
          <c:tx>
            <c:rich>
              <a:bodyPr vert="horz" rot="-5400000" anchor="ctr"/>
              <a:lstStyle/>
              <a:p>
                <a:pPr algn="ctr">
                  <a:defRPr/>
                </a:pPr>
                <a:r>
                  <a:rPr lang="en-US" cap="none" sz="975" b="1" i="0" u="none" baseline="0">
                    <a:latin typeface="Arial"/>
                    <a:ea typeface="Arial"/>
                    <a:cs typeface="Arial"/>
                  </a:rPr>
                  <a:t>log V</a:t>
                </a:r>
              </a:p>
            </c:rich>
          </c:tx>
          <c:layout/>
          <c:overlay val="0"/>
          <c:spPr>
            <a:noFill/>
            <a:ln>
              <a:noFill/>
            </a:ln>
          </c:spPr>
        </c:title>
        <c:majorGridlines/>
        <c:delete val="0"/>
        <c:numFmt formatCode="General" sourceLinked="1"/>
        <c:majorTickMark val="out"/>
        <c:minorTickMark val="none"/>
        <c:tickLblPos val="nextTo"/>
        <c:crossAx val="17853537"/>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1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5-fluoruracil metabolism</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'niwa 2005'!$J$14:$J$34</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xVal>
          <c:yVal>
            <c:numRef>
              <c:f>'niwa 2005'!$K$14:$K$34</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yVal>
          <c:smooth val="0"/>
        </c:ser>
        <c:axId val="36850363"/>
        <c:axId val="63217812"/>
      </c:scatterChart>
      <c:valAx>
        <c:axId val="36850363"/>
        <c:scaling>
          <c:orientation val="minMax"/>
        </c:scaling>
        <c:axPos val="b"/>
        <c:title>
          <c:tx>
            <c:rich>
              <a:bodyPr vert="horz" rot="0" anchor="ctr"/>
              <a:lstStyle/>
              <a:p>
                <a:pPr algn="ctr">
                  <a:defRPr/>
                </a:pPr>
                <a:r>
                  <a:rPr lang="en-US" cap="none" sz="1000"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63217812"/>
        <c:crosses val="autoZero"/>
        <c:crossBetween val="midCat"/>
        <c:dispUnits/>
      </c:valAx>
      <c:valAx>
        <c:axId val="63217812"/>
        <c:scaling>
          <c:orientation val="minMax"/>
        </c:scaling>
        <c:axPos val="l"/>
        <c:title>
          <c:tx>
            <c:rich>
              <a:bodyPr vert="horz" rot="-5400000" anchor="ctr"/>
              <a:lstStyle/>
              <a:p>
                <a:pPr algn="ctr">
                  <a:defRPr/>
                </a:pPr>
                <a:r>
                  <a:rPr lang="en-US" cap="none" sz="1000" b="1" i="0" u="none" baseline="0">
                    <a:latin typeface="Arial"/>
                    <a:ea typeface="Arial"/>
                    <a:cs typeface="Arial"/>
                  </a:rPr>
                  <a:t>Beta alanine formation</a:t>
                </a:r>
              </a:p>
            </c:rich>
          </c:tx>
          <c:layout/>
          <c:overlay val="0"/>
          <c:spPr>
            <a:noFill/>
            <a:ln>
              <a:noFill/>
            </a:ln>
          </c:spPr>
        </c:title>
        <c:majorGridlines/>
        <c:delete val="0"/>
        <c:numFmt formatCode="General" sourceLinked="1"/>
        <c:majorTickMark val="out"/>
        <c:minorTickMark val="none"/>
        <c:tickLblPos val="nextTo"/>
        <c:crossAx val="36850363"/>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5-fluorouracil</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'niwa 2005'!$J$14:$J$34</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xVal>
          <c:yVal>
            <c:numRef>
              <c:f>'niwa 2005'!$L$14:$L$34</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yVal>
          <c:smooth val="0"/>
        </c:ser>
        <c:axId val="32089397"/>
        <c:axId val="20369118"/>
      </c:scatterChart>
      <c:valAx>
        <c:axId val="32089397"/>
        <c:scaling>
          <c:orientation val="minMax"/>
        </c:scaling>
        <c:axPos val="b"/>
        <c:title>
          <c:tx>
            <c:rich>
              <a:bodyPr vert="horz" rot="0" anchor="ctr"/>
              <a:lstStyle/>
              <a:p>
                <a:pPr algn="ctr">
                  <a:defRPr/>
                </a:pPr>
                <a:r>
                  <a:rPr lang="en-US" cap="none" sz="1000"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20369118"/>
        <c:crosses val="autoZero"/>
        <c:crossBetween val="midCat"/>
        <c:dispUnits/>
      </c:valAx>
      <c:valAx>
        <c:axId val="20369118"/>
        <c:scaling>
          <c:orientation val="minMax"/>
        </c:scaling>
        <c:axPos val="l"/>
        <c:title>
          <c:tx>
            <c:rich>
              <a:bodyPr vert="horz" rot="-5400000" anchor="ctr"/>
              <a:lstStyle/>
              <a:p>
                <a:pPr algn="ctr">
                  <a:defRPr/>
                </a:pPr>
                <a:r>
                  <a:rPr lang="en-US" cap="none" sz="1000" b="1" i="0" u="none" baseline="0">
                    <a:latin typeface="Arial"/>
                    <a:ea typeface="Arial"/>
                    <a:cs typeface="Arial"/>
                  </a:rPr>
                  <a:t>log Beta alanine formation</a:t>
                </a:r>
              </a:p>
            </c:rich>
          </c:tx>
          <c:layout/>
          <c:overlay val="0"/>
          <c:spPr>
            <a:noFill/>
            <a:ln>
              <a:noFill/>
            </a:ln>
          </c:spPr>
        </c:title>
        <c:majorGridlines/>
        <c:delete val="0"/>
        <c:numFmt formatCode="General" sourceLinked="1"/>
        <c:majorTickMark val="out"/>
        <c:minorTickMark val="none"/>
        <c:tickLblPos val="nextTo"/>
        <c:crossAx val="32089397"/>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Procainamide N-acetylation</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'niwa 2005'!$V$15:$V$25</c:f>
              <c:numCache>
                <c:ptCount val="11"/>
                <c:pt idx="0">
                  <c:v>0</c:v>
                </c:pt>
                <c:pt idx="1">
                  <c:v>0</c:v>
                </c:pt>
                <c:pt idx="2">
                  <c:v>0</c:v>
                </c:pt>
                <c:pt idx="3">
                  <c:v>0</c:v>
                </c:pt>
                <c:pt idx="4">
                  <c:v>0</c:v>
                </c:pt>
                <c:pt idx="5">
                  <c:v>0</c:v>
                </c:pt>
                <c:pt idx="6">
                  <c:v>0</c:v>
                </c:pt>
                <c:pt idx="7">
                  <c:v>0</c:v>
                </c:pt>
                <c:pt idx="8">
                  <c:v>0</c:v>
                </c:pt>
                <c:pt idx="9">
                  <c:v>0</c:v>
                </c:pt>
                <c:pt idx="10">
                  <c:v>0</c:v>
                </c:pt>
              </c:numCache>
            </c:numRef>
          </c:xVal>
          <c:yVal>
            <c:numRef>
              <c:f>'niwa 2005'!$W$15:$W$25</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axId val="49104335"/>
        <c:axId val="39285832"/>
      </c:scatterChart>
      <c:valAx>
        <c:axId val="49104335"/>
        <c:scaling>
          <c:orientation val="minMax"/>
        </c:scaling>
        <c:axPos val="b"/>
        <c:title>
          <c:tx>
            <c:rich>
              <a:bodyPr vert="horz" rot="0" anchor="ctr"/>
              <a:lstStyle/>
              <a:p>
                <a:pPr algn="ctr">
                  <a:defRPr/>
                </a:pPr>
                <a:r>
                  <a:rPr lang="en-US" cap="none" sz="975"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39285832"/>
        <c:crosses val="autoZero"/>
        <c:crossBetween val="midCat"/>
        <c:dispUnits/>
      </c:valAx>
      <c:valAx>
        <c:axId val="39285832"/>
        <c:scaling>
          <c:orientation val="minMax"/>
        </c:scaling>
        <c:axPos val="l"/>
        <c:title>
          <c:tx>
            <c:rich>
              <a:bodyPr vert="horz" rot="-5400000" anchor="ctr"/>
              <a:lstStyle/>
              <a:p>
                <a:pPr algn="ctr">
                  <a:defRPr/>
                </a:pPr>
                <a:r>
                  <a:rPr lang="en-US" cap="none" sz="975" b="1" i="0" u="none" baseline="0">
                    <a:latin typeface="Arial"/>
                    <a:ea typeface="Arial"/>
                    <a:cs typeface="Arial"/>
                  </a:rPr>
                  <a:t>acetylation pmol/min/mg protein</a:t>
                </a:r>
              </a:p>
            </c:rich>
          </c:tx>
          <c:layout/>
          <c:overlay val="0"/>
          <c:spPr>
            <a:noFill/>
            <a:ln>
              <a:noFill/>
            </a:ln>
          </c:spPr>
        </c:title>
        <c:majorGridlines/>
        <c:delete val="0"/>
        <c:numFmt formatCode="General" sourceLinked="1"/>
        <c:majorTickMark val="out"/>
        <c:minorTickMark val="none"/>
        <c:tickLblPos val="nextTo"/>
        <c:crossAx val="49104335"/>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1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procainamide N-acetylation</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'niwa 2005'!$V$15:$V$25</c:f>
              <c:numCache>
                <c:ptCount val="11"/>
                <c:pt idx="0">
                  <c:v>0</c:v>
                </c:pt>
                <c:pt idx="1">
                  <c:v>0</c:v>
                </c:pt>
                <c:pt idx="2">
                  <c:v>0</c:v>
                </c:pt>
                <c:pt idx="3">
                  <c:v>0</c:v>
                </c:pt>
                <c:pt idx="4">
                  <c:v>0</c:v>
                </c:pt>
                <c:pt idx="5">
                  <c:v>0</c:v>
                </c:pt>
                <c:pt idx="6">
                  <c:v>0</c:v>
                </c:pt>
                <c:pt idx="7">
                  <c:v>0</c:v>
                </c:pt>
                <c:pt idx="8">
                  <c:v>0</c:v>
                </c:pt>
                <c:pt idx="9">
                  <c:v>0</c:v>
                </c:pt>
                <c:pt idx="10">
                  <c:v>0</c:v>
                </c:pt>
              </c:numCache>
            </c:numRef>
          </c:xVal>
          <c:yVal>
            <c:numRef>
              <c:f>'niwa 2005'!$X$15:$X$25</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axId val="18028169"/>
        <c:axId val="28035794"/>
      </c:scatterChart>
      <c:valAx>
        <c:axId val="18028169"/>
        <c:scaling>
          <c:orientation val="minMax"/>
        </c:scaling>
        <c:axPos val="b"/>
        <c:title>
          <c:tx>
            <c:rich>
              <a:bodyPr vert="horz" rot="0" anchor="ctr"/>
              <a:lstStyle/>
              <a:p>
                <a:pPr algn="ctr">
                  <a:defRPr/>
                </a:pPr>
                <a:r>
                  <a:rPr lang="en-US" cap="none" sz="975"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28035794"/>
        <c:crosses val="autoZero"/>
        <c:crossBetween val="midCat"/>
        <c:dispUnits/>
      </c:valAx>
      <c:valAx>
        <c:axId val="28035794"/>
        <c:scaling>
          <c:orientation val="minMax"/>
        </c:scaling>
        <c:axPos val="l"/>
        <c:title>
          <c:tx>
            <c:rich>
              <a:bodyPr vert="horz" rot="-5400000" anchor="ctr"/>
              <a:lstStyle/>
              <a:p>
                <a:pPr algn="ctr">
                  <a:defRPr/>
                </a:pPr>
                <a:r>
                  <a:rPr lang="en-US" cap="none" sz="975" b="1" i="0" u="none" baseline="0">
                    <a:latin typeface="Arial"/>
                    <a:ea typeface="Arial"/>
                    <a:cs typeface="Arial"/>
                  </a:rPr>
                  <a:t>log (N-acet)</a:t>
                </a:r>
              </a:p>
            </c:rich>
          </c:tx>
          <c:layout/>
          <c:overlay val="0"/>
          <c:spPr>
            <a:noFill/>
            <a:ln>
              <a:noFill/>
            </a:ln>
          </c:spPr>
        </c:title>
        <c:majorGridlines/>
        <c:delete val="0"/>
        <c:numFmt formatCode="General" sourceLinked="1"/>
        <c:majorTickMark val="out"/>
        <c:minorTickMark val="none"/>
        <c:tickLblPos val="nextTo"/>
        <c:crossAx val="18028169"/>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1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Tegafur 5-FU Formation</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'komatsu 2001'!$I$14:$I$27</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xVal>
          <c:yVal>
            <c:numRef>
              <c:f>'komatsu 2001'!$J$14:$J$27</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ser>
        <c:axId val="50995555"/>
        <c:axId val="56306812"/>
      </c:scatterChart>
      <c:valAx>
        <c:axId val="50995555"/>
        <c:scaling>
          <c:orientation val="minMax"/>
        </c:scaling>
        <c:axPos val="b"/>
        <c:title>
          <c:tx>
            <c:rich>
              <a:bodyPr vert="horz" rot="0" anchor="ctr"/>
              <a:lstStyle/>
              <a:p>
                <a:pPr algn="ctr">
                  <a:defRPr/>
                </a:pPr>
                <a:r>
                  <a:rPr lang="en-US" cap="none" sz="975"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56306812"/>
        <c:crosses val="autoZero"/>
        <c:crossBetween val="midCat"/>
        <c:dispUnits/>
      </c:valAx>
      <c:valAx>
        <c:axId val="56306812"/>
        <c:scaling>
          <c:orientation val="minMax"/>
        </c:scaling>
        <c:axPos val="l"/>
        <c:title>
          <c:tx>
            <c:rich>
              <a:bodyPr vert="horz" rot="-5400000" anchor="ctr"/>
              <a:lstStyle/>
              <a:p>
                <a:pPr algn="ctr">
                  <a:defRPr/>
                </a:pPr>
                <a:r>
                  <a:rPr lang="en-US" cap="none" sz="975" b="1" i="0" u="none" baseline="0">
                    <a:latin typeface="Arial"/>
                    <a:ea typeface="Arial"/>
                    <a:cs typeface="Arial"/>
                  </a:rPr>
                  <a:t>5-FU Formation</a:t>
                </a:r>
              </a:p>
            </c:rich>
          </c:tx>
          <c:layout/>
          <c:overlay val="0"/>
          <c:spPr>
            <a:noFill/>
            <a:ln>
              <a:noFill/>
            </a:ln>
          </c:spPr>
        </c:title>
        <c:majorGridlines/>
        <c:delete val="0"/>
        <c:numFmt formatCode="General" sourceLinked="1"/>
        <c:majorTickMark val="out"/>
        <c:minorTickMark val="none"/>
        <c:tickLblPos val="nextTo"/>
        <c:crossAx val="50995555"/>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Vmax/Km</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'Zhang 2002'!$S$8:$S$12</c:f>
              <c:numCache>
                <c:ptCount val="5"/>
                <c:pt idx="0">
                  <c:v>0</c:v>
                </c:pt>
                <c:pt idx="1">
                  <c:v>0</c:v>
                </c:pt>
                <c:pt idx="2">
                  <c:v>0</c:v>
                </c:pt>
                <c:pt idx="3">
                  <c:v>0</c:v>
                </c:pt>
                <c:pt idx="4">
                  <c:v>0</c:v>
                </c:pt>
              </c:numCache>
            </c:numRef>
          </c:xVal>
          <c:yVal>
            <c:numRef>
              <c:f>'Zhang 2002'!$W$8:$W$12</c:f>
              <c:numCache>
                <c:ptCount val="5"/>
                <c:pt idx="0">
                  <c:v>0</c:v>
                </c:pt>
                <c:pt idx="1">
                  <c:v>0</c:v>
                </c:pt>
                <c:pt idx="2">
                  <c:v>0</c:v>
                </c:pt>
                <c:pt idx="3">
                  <c:v>0</c:v>
                </c:pt>
                <c:pt idx="4">
                  <c:v>0</c:v>
                </c:pt>
              </c:numCache>
            </c:numRef>
          </c:yVal>
          <c:smooth val="0"/>
        </c:ser>
        <c:axId val="39615579"/>
        <c:axId val="20995892"/>
      </c:scatterChart>
      <c:valAx>
        <c:axId val="39615579"/>
        <c:scaling>
          <c:orientation val="minMax"/>
        </c:scaling>
        <c:axPos val="b"/>
        <c:title>
          <c:tx>
            <c:rich>
              <a:bodyPr vert="horz" rot="0" anchor="ctr"/>
              <a:lstStyle/>
              <a:p>
                <a:pPr algn="ctr">
                  <a:defRPr/>
                </a:pPr>
                <a:r>
                  <a:rPr lang="en-US" cap="none" sz="975"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20995892"/>
        <c:crosses val="autoZero"/>
        <c:crossBetween val="midCat"/>
        <c:dispUnits/>
      </c:valAx>
      <c:valAx>
        <c:axId val="20995892"/>
        <c:scaling>
          <c:orientation val="minMax"/>
        </c:scaling>
        <c:axPos val="l"/>
        <c:title>
          <c:tx>
            <c:rich>
              <a:bodyPr vert="horz" rot="-5400000" anchor="ctr"/>
              <a:lstStyle/>
              <a:p>
                <a:pPr algn="ctr">
                  <a:defRPr/>
                </a:pPr>
                <a:r>
                  <a:rPr lang="en-US" cap="none" sz="975" b="1" i="0" u="none" baseline="0">
                    <a:latin typeface="Arial"/>
                    <a:ea typeface="Arial"/>
                    <a:cs typeface="Arial"/>
                  </a:rPr>
                  <a:t>Vmax/ Km</a:t>
                </a:r>
              </a:p>
            </c:rich>
          </c:tx>
          <c:layout/>
          <c:overlay val="0"/>
          <c:spPr>
            <a:noFill/>
            <a:ln>
              <a:noFill/>
            </a:ln>
          </c:spPr>
        </c:title>
        <c:majorGridlines/>
        <c:delete val="0"/>
        <c:numFmt formatCode="General" sourceLinked="1"/>
        <c:majorTickMark val="out"/>
        <c:minorTickMark val="none"/>
        <c:tickLblPos val="nextTo"/>
        <c:crossAx val="39615579"/>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1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Tegufur 5-Fu Formation</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'komatsu 2001'!$I$14:$I$27</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xVal>
          <c:yVal>
            <c:numRef>
              <c:f>'komatsu 2001'!$K$14:$K$27</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ser>
        <c:axId val="36999261"/>
        <c:axId val="64557894"/>
      </c:scatterChart>
      <c:valAx>
        <c:axId val="36999261"/>
        <c:scaling>
          <c:orientation val="minMax"/>
        </c:scaling>
        <c:axPos val="b"/>
        <c:title>
          <c:tx>
            <c:rich>
              <a:bodyPr vert="horz" rot="0" anchor="ctr"/>
              <a:lstStyle/>
              <a:p>
                <a:pPr algn="ctr">
                  <a:defRPr/>
                </a:pPr>
                <a:r>
                  <a:rPr lang="en-US" cap="none" sz="975"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64557894"/>
        <c:crosses val="autoZero"/>
        <c:crossBetween val="midCat"/>
        <c:dispUnits/>
      </c:valAx>
      <c:valAx>
        <c:axId val="64557894"/>
        <c:scaling>
          <c:orientation val="minMax"/>
        </c:scaling>
        <c:axPos val="l"/>
        <c:title>
          <c:tx>
            <c:rich>
              <a:bodyPr vert="horz" rot="-5400000" anchor="ctr"/>
              <a:lstStyle/>
              <a:p>
                <a:pPr algn="ctr">
                  <a:defRPr/>
                </a:pPr>
                <a:r>
                  <a:rPr lang="en-US" cap="none" sz="975" b="1" i="0" u="none" baseline="0">
                    <a:latin typeface="Arial"/>
                    <a:ea typeface="Arial"/>
                    <a:cs typeface="Arial"/>
                  </a:rPr>
                  <a:t>log 5-Fu formation</a:t>
                </a:r>
              </a:p>
            </c:rich>
          </c:tx>
          <c:layout/>
          <c:overlay val="0"/>
          <c:spPr>
            <a:noFill/>
            <a:ln>
              <a:noFill/>
            </a:ln>
          </c:spPr>
        </c:title>
        <c:majorGridlines/>
        <c:delete val="0"/>
        <c:numFmt formatCode="General" sourceLinked="1"/>
        <c:majorTickMark val="out"/>
        <c:minorTickMark val="none"/>
        <c:tickLblPos val="nextTo"/>
        <c:crossAx val="36999261"/>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1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Zscore vs % inhibition</a:t>
            </a:r>
          </a:p>
        </c:rich>
      </c:tx>
      <c:layout/>
      <c:spPr>
        <a:noFill/>
        <a:ln>
          <a:noFill/>
        </a:ln>
      </c:spPr>
    </c:title>
    <c:plotArea>
      <c:layout>
        <c:manualLayout>
          <c:xMode val="edge"/>
          <c:yMode val="edge"/>
          <c:x val="0"/>
          <c:y val="0.1795"/>
          <c:w val="0.87425"/>
          <c:h val="0.820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trendline>
            <c:trendlineType val="exp"/>
            <c:dispEq val="1"/>
            <c:dispRSqr val="1"/>
            <c:trendlineLbl>
              <c:layout>
                <c:manualLayout>
                  <c:x val="0"/>
                  <c:y val="0"/>
                </c:manualLayout>
              </c:layout>
              <c:numFmt formatCode="General"/>
            </c:trendlineLbl>
          </c:trendline>
          <c:trendline>
            <c:trendlineType val="poly"/>
            <c:order val="2"/>
            <c:dispEq val="1"/>
            <c:dispRSqr val="1"/>
            <c:trendlineLbl>
              <c:layout>
                <c:manualLayout>
                  <c:x val="0"/>
                  <c:y val="0"/>
                </c:manualLayout>
              </c:layout>
              <c:numFmt formatCode="General"/>
            </c:trendlineLbl>
          </c:trendline>
          <c:xVal>
            <c:numRef>
              <c:f>'guttion 1998'!$J$11:$J$15</c:f>
              <c:numCache>
                <c:ptCount val="5"/>
                <c:pt idx="0">
                  <c:v>0</c:v>
                </c:pt>
                <c:pt idx="1">
                  <c:v>0</c:v>
                </c:pt>
                <c:pt idx="2">
                  <c:v>0</c:v>
                </c:pt>
                <c:pt idx="3">
                  <c:v>0</c:v>
                </c:pt>
                <c:pt idx="4">
                  <c:v>0</c:v>
                </c:pt>
              </c:numCache>
            </c:numRef>
          </c:xVal>
          <c:yVal>
            <c:numRef>
              <c:f>'guttion 1998'!$K$11:$K$15</c:f>
              <c:numCache>
                <c:ptCount val="5"/>
                <c:pt idx="0">
                  <c:v>0</c:v>
                </c:pt>
                <c:pt idx="1">
                  <c:v>0</c:v>
                </c:pt>
                <c:pt idx="2">
                  <c:v>0</c:v>
                </c:pt>
                <c:pt idx="3">
                  <c:v>0</c:v>
                </c:pt>
                <c:pt idx="4">
                  <c:v>0</c:v>
                </c:pt>
              </c:numCache>
            </c:numRef>
          </c:yVal>
          <c:smooth val="0"/>
        </c:ser>
        <c:axId val="44150135"/>
        <c:axId val="61806896"/>
      </c:scatterChart>
      <c:valAx>
        <c:axId val="44150135"/>
        <c:scaling>
          <c:orientation val="minMax"/>
        </c:scaling>
        <c:axPos val="b"/>
        <c:delete val="0"/>
        <c:numFmt formatCode="General" sourceLinked="1"/>
        <c:majorTickMark val="out"/>
        <c:minorTickMark val="none"/>
        <c:tickLblPos val="nextTo"/>
        <c:crossAx val="61806896"/>
        <c:crosses val="autoZero"/>
        <c:crossBetween val="midCat"/>
        <c:dispUnits/>
      </c:valAx>
      <c:valAx>
        <c:axId val="61806896"/>
        <c:scaling>
          <c:orientation val="minMax"/>
        </c:scaling>
        <c:axPos val="l"/>
        <c:majorGridlines/>
        <c:delete val="0"/>
        <c:numFmt formatCode="General" sourceLinked="1"/>
        <c:majorTickMark val="out"/>
        <c:minorTickMark val="none"/>
        <c:tickLblPos val="nextTo"/>
        <c:crossAx val="44150135"/>
        <c:crosses val="autoZero"/>
        <c:crossBetween val="midCat"/>
        <c:dispUnits/>
      </c:valAx>
      <c:spPr>
        <a:solidFill>
          <a:srgbClr val="C0C0C0"/>
        </a:solidFill>
        <a:ln w="12700">
          <a:solidFill>
            <a:srgbClr val="808080"/>
          </a:solidFill>
        </a:ln>
      </c:spPr>
    </c:plotArea>
    <c:legend>
      <c:legendPos val="r"/>
      <c:layout>
        <c:manualLayout>
          <c:xMode val="edge"/>
          <c:yMode val="edge"/>
          <c:x val="0.80875"/>
          <c:y val="0.421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Z score vs log % inhibition</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'guttion 1998'!$J$11:$J$15</c:f>
              <c:numCache>
                <c:ptCount val="5"/>
                <c:pt idx="0">
                  <c:v>0</c:v>
                </c:pt>
                <c:pt idx="1">
                  <c:v>0</c:v>
                </c:pt>
                <c:pt idx="2">
                  <c:v>0</c:v>
                </c:pt>
                <c:pt idx="3">
                  <c:v>0</c:v>
                </c:pt>
                <c:pt idx="4">
                  <c:v>0</c:v>
                </c:pt>
              </c:numCache>
            </c:numRef>
          </c:xVal>
          <c:yVal>
            <c:numRef>
              <c:f>'guttion 1998'!$L$11:$L$15</c:f>
              <c:numCache>
                <c:ptCount val="5"/>
                <c:pt idx="0">
                  <c:v>0</c:v>
                </c:pt>
                <c:pt idx="1">
                  <c:v>0</c:v>
                </c:pt>
                <c:pt idx="2">
                  <c:v>0</c:v>
                </c:pt>
                <c:pt idx="3">
                  <c:v>0</c:v>
                </c:pt>
                <c:pt idx="4">
                  <c:v>0</c:v>
                </c:pt>
              </c:numCache>
            </c:numRef>
          </c:yVal>
          <c:smooth val="0"/>
        </c:ser>
        <c:axId val="19391153"/>
        <c:axId val="40302650"/>
      </c:scatterChart>
      <c:valAx>
        <c:axId val="19391153"/>
        <c:scaling>
          <c:orientation val="minMax"/>
        </c:scaling>
        <c:axPos val="b"/>
        <c:delete val="0"/>
        <c:numFmt formatCode="General" sourceLinked="1"/>
        <c:majorTickMark val="out"/>
        <c:minorTickMark val="none"/>
        <c:tickLblPos val="nextTo"/>
        <c:crossAx val="40302650"/>
        <c:crosses val="autoZero"/>
        <c:crossBetween val="midCat"/>
        <c:dispUnits/>
      </c:valAx>
      <c:valAx>
        <c:axId val="40302650"/>
        <c:scaling>
          <c:orientation val="minMax"/>
        </c:scaling>
        <c:axPos val="l"/>
        <c:majorGridlines/>
        <c:delete val="0"/>
        <c:numFmt formatCode="General" sourceLinked="1"/>
        <c:majorTickMark val="out"/>
        <c:minorTickMark val="none"/>
        <c:tickLblPos val="nextTo"/>
        <c:crossAx val="19391153"/>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475"/>
          <c:y val="0.009"/>
          <c:w val="0.8705"/>
          <c:h val="0.91825"/>
        </c:manualLayout>
      </c:layout>
      <c:scatterChart>
        <c:scatterStyle val="lineMarker"/>
        <c:varyColors val="0"/>
        <c:ser>
          <c:idx val="0"/>
          <c:order val="0"/>
          <c:tx>
            <c:v>2600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xVal>
            <c:numRef>
              <c:f>'Correlation 2'!__sm_QV_0_9c4_a28_860</c:f>
              <c:numCache>
                <c:ptCount val="6"/>
                <c:pt idx="0">
                  <c:v>3.19</c:v>
                </c:pt>
                <c:pt idx="1">
                  <c:v>3.46</c:v>
                </c:pt>
                <c:pt idx="2">
                  <c:v>4.26</c:v>
                </c:pt>
                <c:pt idx="3">
                  <c:v>6.2</c:v>
                </c:pt>
                <c:pt idx="4">
                  <c:v>6.54</c:v>
                </c:pt>
                <c:pt idx="5">
                  <c:v>17.57</c:v>
                </c:pt>
              </c:numCache>
            </c:numRef>
          </c:xVal>
          <c:yVal>
            <c:numRef>
              <c:f>'Correlation 2'!__sm_QV_0_9c4_a28_861</c:f>
              <c:numCache>
                <c:ptCount val="6"/>
                <c:pt idx="0">
                  <c:v>0.44</c:v>
                </c:pt>
                <c:pt idx="1">
                  <c:v>0.6</c:v>
                </c:pt>
                <c:pt idx="2">
                  <c:v>0.88</c:v>
                </c:pt>
                <c:pt idx="3">
                  <c:v>1.02</c:v>
                </c:pt>
                <c:pt idx="4">
                  <c:v>1.28</c:v>
                </c:pt>
                <c:pt idx="5">
                  <c:v>2.34</c:v>
                </c:pt>
              </c:numCache>
            </c:numRef>
          </c:yVal>
          <c:smooth val="0"/>
        </c:ser>
        <c:axId val="54058373"/>
        <c:axId val="16763310"/>
      </c:scatterChart>
      <c:valAx>
        <c:axId val="54058373"/>
        <c:scaling>
          <c:orientation val="minMax"/>
          <c:max val="18"/>
          <c:min val="2"/>
        </c:scaling>
        <c:axPos val="b"/>
        <c:title>
          <c:tx>
            <c:rich>
              <a:bodyPr vert="horz" rot="0" anchor="ctr"/>
              <a:lstStyle/>
              <a:p>
                <a:pPr algn="ctr" rtl="1">
                  <a:defRPr/>
                </a:pPr>
                <a:r>
                  <a:rPr lang="en-US" cap="none" sz="800" b="1" i="0" u="none" baseline="0">
                    <a:latin typeface="Arial"/>
                    <a:ea typeface="Arial"/>
                    <a:cs typeface="Arial"/>
                  </a:rPr>
                  <a:t>Norcaine N-Hydroxylation - R2</a:t>
                </a:r>
              </a:p>
            </c:rich>
          </c:tx>
          <c:layout/>
          <c:overlay val="0"/>
          <c:spPr>
            <a:noFill/>
            <a:ln>
              <a:noFill/>
            </a:ln>
          </c:spPr>
        </c:title>
        <c:delete val="0"/>
        <c:numFmt formatCode="General" sourceLinked="1"/>
        <c:majorTickMark val="out"/>
        <c:minorTickMark val="none"/>
        <c:tickLblPos val="nextTo"/>
        <c:spPr>
          <a:ln w="12700">
            <a:solidFill>
              <a:srgbClr val="000000"/>
            </a:solidFill>
          </a:ln>
        </c:spPr>
        <c:crossAx val="16763310"/>
        <c:crossesAt val="0.4"/>
        <c:crossBetween val="midCat"/>
        <c:dispUnits/>
      </c:valAx>
      <c:valAx>
        <c:axId val="16763310"/>
        <c:scaling>
          <c:orientation val="minMax"/>
          <c:max val="2.4000000000000004"/>
          <c:min val="0.4"/>
        </c:scaling>
        <c:axPos val="l"/>
        <c:title>
          <c:tx>
            <c:rich>
              <a:bodyPr vert="horz" rot="-5400000" anchor="ctr"/>
              <a:lstStyle/>
              <a:p>
                <a:pPr algn="ctr" rtl="1">
                  <a:defRPr/>
                </a:pPr>
                <a:r>
                  <a:rPr lang="en-US" cap="none" sz="800" b="1" i="0" u="none" baseline="0">
                    <a:latin typeface="Arial"/>
                    <a:ea typeface="Arial"/>
                    <a:cs typeface="Arial"/>
                  </a:rPr>
                  <a:t>Norcaine N-Hydroxylation - R1</a:t>
                </a:r>
              </a:p>
            </c:rich>
          </c:tx>
          <c:layout/>
          <c:overlay val="0"/>
          <c:spPr>
            <a:noFill/>
            <a:ln>
              <a:noFill/>
            </a:ln>
          </c:spPr>
        </c:title>
        <c:delete val="0"/>
        <c:numFmt formatCode="General" sourceLinked="1"/>
        <c:majorTickMark val="out"/>
        <c:minorTickMark val="none"/>
        <c:tickLblPos val="nextTo"/>
        <c:spPr>
          <a:ln w="12700">
            <a:solidFill>
              <a:srgbClr val="000000"/>
            </a:solidFill>
          </a:ln>
        </c:spPr>
        <c:crossAx val="54058373"/>
        <c:crossesAt val="2"/>
        <c:crossBetween val="midCat"/>
        <c:dispUnits/>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475"/>
          <c:y val="0.009"/>
          <c:w val="0.8705"/>
          <c:h val="0.91825"/>
        </c:manualLayout>
      </c:layout>
      <c:scatterChart>
        <c:scatterStyle val="lineMarker"/>
        <c:varyColors val="0"/>
        <c:ser>
          <c:idx val="0"/>
          <c:order val="0"/>
          <c:tx>
            <c:v>2600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xVal>
            <c:numRef>
              <c:f>'Wandell Correllation'!__sm_QV_0_9c4_a28_860</c:f>
              <c:numCache>
                <c:ptCount val="15"/>
                <c:pt idx="0">
                  <c:v>4.5</c:v>
                </c:pt>
                <c:pt idx="1">
                  <c:v>3.54</c:v>
                </c:pt>
                <c:pt idx="2">
                  <c:v>4.53</c:v>
                </c:pt>
                <c:pt idx="3">
                  <c:v>8.32</c:v>
                </c:pt>
                <c:pt idx="4">
                  <c:v>6.37</c:v>
                </c:pt>
                <c:pt idx="5">
                  <c:v>4</c:v>
                </c:pt>
                <c:pt idx="6">
                  <c:v>3.2</c:v>
                </c:pt>
                <c:pt idx="7">
                  <c:v>5.2</c:v>
                </c:pt>
                <c:pt idx="8">
                  <c:v>2.5</c:v>
                </c:pt>
                <c:pt idx="9">
                  <c:v>18.07</c:v>
                </c:pt>
                <c:pt idx="10">
                  <c:v>13.18</c:v>
                </c:pt>
                <c:pt idx="11">
                  <c:v>33.4</c:v>
                </c:pt>
                <c:pt idx="12">
                  <c:v>17.6</c:v>
                </c:pt>
                <c:pt idx="13">
                  <c:v>22.54</c:v>
                </c:pt>
                <c:pt idx="14">
                  <c:v>6.57</c:v>
                </c:pt>
              </c:numCache>
            </c:numRef>
          </c:xVal>
          <c:yVal>
            <c:numRef>
              <c:f>'Wandell Correllation'!__sm_QV_0_9c4_a28_861</c:f>
              <c:numCache>
                <c:ptCount val="15"/>
                <c:pt idx="0">
                  <c:v>3.35</c:v>
                </c:pt>
                <c:pt idx="1">
                  <c:v>2.2</c:v>
                </c:pt>
                <c:pt idx="2">
                  <c:v>3.71</c:v>
                </c:pt>
                <c:pt idx="3">
                  <c:v>0.9</c:v>
                </c:pt>
                <c:pt idx="4">
                  <c:v>4.07</c:v>
                </c:pt>
                <c:pt idx="5">
                  <c:v>1.6</c:v>
                </c:pt>
                <c:pt idx="6">
                  <c:v>1.7</c:v>
                </c:pt>
                <c:pt idx="7">
                  <c:v>2.5</c:v>
                </c:pt>
                <c:pt idx="8">
                  <c:v>1.75</c:v>
                </c:pt>
                <c:pt idx="9">
                  <c:v>1.84</c:v>
                </c:pt>
                <c:pt idx="10">
                  <c:v>1.3</c:v>
                </c:pt>
                <c:pt idx="11">
                  <c:v>4.81</c:v>
                </c:pt>
                <c:pt idx="12">
                  <c:v>3.06</c:v>
                </c:pt>
                <c:pt idx="13">
                  <c:v>3.42</c:v>
                </c:pt>
                <c:pt idx="14">
                  <c:v>1.12</c:v>
                </c:pt>
              </c:numCache>
            </c:numRef>
          </c:yVal>
          <c:smooth val="0"/>
        </c:ser>
        <c:axId val="6639833"/>
        <c:axId val="59758498"/>
      </c:scatterChart>
      <c:valAx>
        <c:axId val="6639833"/>
        <c:scaling>
          <c:orientation val="minMax"/>
          <c:max val="35"/>
          <c:min val="0"/>
        </c:scaling>
        <c:axPos val="b"/>
        <c:title>
          <c:tx>
            <c:rich>
              <a:bodyPr vert="horz" rot="0" anchor="ctr"/>
              <a:lstStyle/>
              <a:p>
                <a:pPr algn="ctr" rtl="1">
                  <a:defRPr/>
                </a:pPr>
                <a:r>
                  <a:rPr lang="en-US" cap="none" sz="800" b="1" i="0" u="none" baseline="0">
                    <a:latin typeface="Arial"/>
                    <a:ea typeface="Arial"/>
                    <a:cs typeface="Arial"/>
                  </a:rPr>
                  <a:t>Apparent Km Alpha-hydrox of Midazolam</a:t>
                </a:r>
              </a:p>
            </c:rich>
          </c:tx>
          <c:layout/>
          <c:overlay val="0"/>
          <c:spPr>
            <a:noFill/>
            <a:ln>
              <a:noFill/>
            </a:ln>
          </c:spPr>
        </c:title>
        <c:delete val="0"/>
        <c:numFmt formatCode="General" sourceLinked="1"/>
        <c:majorTickMark val="out"/>
        <c:minorTickMark val="none"/>
        <c:tickLblPos val="nextTo"/>
        <c:spPr>
          <a:ln w="12700">
            <a:solidFill>
              <a:srgbClr val="000000"/>
            </a:solidFill>
          </a:ln>
        </c:spPr>
        <c:crossAx val="59758498"/>
        <c:crossesAt val="0.5"/>
        <c:crossBetween val="midCat"/>
        <c:dispUnits/>
      </c:valAx>
      <c:valAx>
        <c:axId val="59758498"/>
        <c:scaling>
          <c:orientation val="minMax"/>
          <c:max val="5"/>
          <c:min val="0.5"/>
        </c:scaling>
        <c:axPos val="l"/>
        <c:title>
          <c:tx>
            <c:rich>
              <a:bodyPr vert="horz" rot="-5400000" anchor="ctr"/>
              <a:lstStyle/>
              <a:p>
                <a:pPr algn="ctr" rtl="1">
                  <a:defRPr/>
                </a:pPr>
                <a:r>
                  <a:rPr lang="en-US" cap="none" sz="800" b="1" i="0" u="none" baseline="0">
                    <a:latin typeface="Arial"/>
                    <a:ea typeface="Arial"/>
                    <a:cs typeface="Arial"/>
                  </a:rPr>
                  <a:t>Apparent Vmax Alpha-hydrox of Midazolam</a:t>
                </a:r>
              </a:p>
            </c:rich>
          </c:tx>
          <c:layout/>
          <c:overlay val="0"/>
          <c:spPr>
            <a:noFill/>
            <a:ln>
              <a:noFill/>
            </a:ln>
          </c:spPr>
        </c:title>
        <c:delete val="0"/>
        <c:numFmt formatCode="General" sourceLinked="1"/>
        <c:majorTickMark val="out"/>
        <c:minorTickMark val="none"/>
        <c:tickLblPos val="nextTo"/>
        <c:spPr>
          <a:ln w="12700">
            <a:solidFill>
              <a:srgbClr val="000000"/>
            </a:solidFill>
          </a:ln>
        </c:spPr>
        <c:crossAx val="6639833"/>
        <c:crossesAt val="0"/>
        <c:crossBetween val="midCat"/>
        <c:dispUnits/>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475"/>
          <c:y val="0.009"/>
          <c:w val="0.8705"/>
          <c:h val="0.91825"/>
        </c:manualLayout>
      </c:layout>
      <c:scatterChart>
        <c:scatterStyle val="lineMarker"/>
        <c:varyColors val="0"/>
        <c:ser>
          <c:idx val="0"/>
          <c:order val="0"/>
          <c:tx>
            <c:v>2600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xVal>
            <c:numRef>
              <c:f>'Keddaris 1993 Correlation 5'!__sm_QV_0_9c4_a28_860</c:f>
              <c:numCache>
                <c:ptCount val="6"/>
                <c:pt idx="0">
                  <c:v>2.3</c:v>
                </c:pt>
                <c:pt idx="1">
                  <c:v>1.7</c:v>
                </c:pt>
                <c:pt idx="2">
                  <c:v>1.9</c:v>
                </c:pt>
                <c:pt idx="3">
                  <c:v>0.6</c:v>
                </c:pt>
                <c:pt idx="4">
                  <c:v>3.2</c:v>
                </c:pt>
                <c:pt idx="5">
                  <c:v>3.1</c:v>
                </c:pt>
              </c:numCache>
            </c:numRef>
          </c:xVal>
          <c:yVal>
            <c:numRef>
              <c:f>'Keddaris 1993 Correlation 5'!__sm_QV_0_9c4_a28_861</c:f>
              <c:numCache>
                <c:ptCount val="6"/>
                <c:pt idx="0">
                  <c:v>8.4</c:v>
                </c:pt>
                <c:pt idx="1">
                  <c:v>8.3</c:v>
                </c:pt>
                <c:pt idx="2">
                  <c:v>14.1</c:v>
                </c:pt>
                <c:pt idx="3">
                  <c:v>9.1</c:v>
                </c:pt>
                <c:pt idx="4">
                  <c:v>15.8</c:v>
                </c:pt>
                <c:pt idx="5">
                  <c:v>18.8</c:v>
                </c:pt>
              </c:numCache>
            </c:numRef>
          </c:yVal>
          <c:smooth val="0"/>
        </c:ser>
        <c:axId val="10292397"/>
        <c:axId val="25522710"/>
      </c:scatterChart>
      <c:valAx>
        <c:axId val="10292397"/>
        <c:scaling>
          <c:orientation val="minMax"/>
          <c:max val="3.5"/>
          <c:min val="0.5"/>
        </c:scaling>
        <c:axPos val="b"/>
        <c:title>
          <c:tx>
            <c:rich>
              <a:bodyPr vert="horz" rot="0" anchor="ctr"/>
              <a:lstStyle/>
              <a:p>
                <a:pPr algn="ctr" rtl="1">
                  <a:defRPr/>
                </a:pPr>
                <a:r>
                  <a:rPr lang="en-US" cap="none" sz="800" b="1" i="0" u="none" baseline="0">
                    <a:latin typeface="Arial"/>
                    <a:ea typeface="Arial"/>
                    <a:cs typeface="Arial"/>
                  </a:rPr>
                  <a:t>Km - mM</a:t>
                </a:r>
              </a:p>
            </c:rich>
          </c:tx>
          <c:layout/>
          <c:overlay val="0"/>
          <c:spPr>
            <a:noFill/>
            <a:ln>
              <a:noFill/>
            </a:ln>
          </c:spPr>
        </c:title>
        <c:delete val="0"/>
        <c:numFmt formatCode="General" sourceLinked="1"/>
        <c:majorTickMark val="out"/>
        <c:minorTickMark val="none"/>
        <c:tickLblPos val="nextTo"/>
        <c:spPr>
          <a:ln w="12700">
            <a:solidFill>
              <a:srgbClr val="000000"/>
            </a:solidFill>
          </a:ln>
        </c:spPr>
        <c:crossAx val="25522710"/>
        <c:crossesAt val="8"/>
        <c:crossBetween val="midCat"/>
        <c:dispUnits/>
      </c:valAx>
      <c:valAx>
        <c:axId val="25522710"/>
        <c:scaling>
          <c:orientation val="minMax"/>
          <c:max val="20"/>
          <c:min val="8"/>
        </c:scaling>
        <c:axPos val="l"/>
        <c:title>
          <c:tx>
            <c:rich>
              <a:bodyPr vert="horz" rot="-5400000" anchor="ctr"/>
              <a:lstStyle/>
              <a:p>
                <a:pPr algn="ctr" rtl="1">
                  <a:defRPr/>
                </a:pPr>
                <a:r>
                  <a:rPr lang="en-US" cap="none" sz="800" b="1" i="0" u="none" baseline="0">
                    <a:latin typeface="Arial"/>
                    <a:ea typeface="Arial"/>
                    <a:cs typeface="Arial"/>
                  </a:rPr>
                  <a:t>Vmax - nmol/min/ mg protein</a:t>
                </a:r>
              </a:p>
            </c:rich>
          </c:tx>
          <c:layout/>
          <c:overlay val="0"/>
          <c:spPr>
            <a:noFill/>
            <a:ln>
              <a:noFill/>
            </a:ln>
          </c:spPr>
        </c:title>
        <c:delete val="0"/>
        <c:numFmt formatCode="General" sourceLinked="1"/>
        <c:majorTickMark val="out"/>
        <c:minorTickMark val="none"/>
        <c:tickLblPos val="nextTo"/>
        <c:spPr>
          <a:ln w="12700">
            <a:solidFill>
              <a:srgbClr val="000000"/>
            </a:solidFill>
          </a:ln>
        </c:spPr>
        <c:crossAx val="10292397"/>
        <c:crossesAt val="0.5"/>
        <c:crossBetween val="midCat"/>
        <c:dispUnits/>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475"/>
          <c:y val="0.009"/>
          <c:w val="0.8705"/>
          <c:h val="0.91825"/>
        </c:manualLayout>
      </c:layout>
      <c:scatterChart>
        <c:scatterStyle val="lineMarker"/>
        <c:varyColors val="0"/>
        <c:ser>
          <c:idx val="0"/>
          <c:order val="0"/>
          <c:tx>
            <c:v>2600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xVal>
            <c:numRef>
              <c:f>'zhang 2002 Correlation 4'!__sm_QV_0_9c4_a28_860</c:f>
              <c:numCache>
                <c:ptCount val="5"/>
                <c:pt idx="0">
                  <c:v>7.8</c:v>
                </c:pt>
                <c:pt idx="1">
                  <c:v>5.2</c:v>
                </c:pt>
                <c:pt idx="2">
                  <c:v>2.8</c:v>
                </c:pt>
                <c:pt idx="3">
                  <c:v>3.3</c:v>
                </c:pt>
                <c:pt idx="4">
                  <c:v>3.2</c:v>
                </c:pt>
              </c:numCache>
            </c:numRef>
          </c:xVal>
          <c:yVal>
            <c:numRef>
              <c:f>'zhang 2002 Correlation 4'!__sm_QV_0_9c4_a28_861</c:f>
              <c:numCache>
                <c:ptCount val="5"/>
                <c:pt idx="0">
                  <c:v>0.056</c:v>
                </c:pt>
                <c:pt idx="1">
                  <c:v>0.18</c:v>
                </c:pt>
                <c:pt idx="2">
                  <c:v>0.29</c:v>
                </c:pt>
                <c:pt idx="3">
                  <c:v>0.05</c:v>
                </c:pt>
                <c:pt idx="4">
                  <c:v>0.045</c:v>
                </c:pt>
              </c:numCache>
            </c:numRef>
          </c:yVal>
          <c:smooth val="0"/>
        </c:ser>
        <c:axId val="16900353"/>
        <c:axId val="17885450"/>
      </c:scatterChart>
      <c:valAx>
        <c:axId val="16900353"/>
        <c:scaling>
          <c:orientation val="minMax"/>
          <c:max val="8"/>
          <c:min val="2.5"/>
        </c:scaling>
        <c:axPos val="b"/>
        <c:title>
          <c:tx>
            <c:rich>
              <a:bodyPr vert="horz" rot="0" anchor="ctr"/>
              <a:lstStyle/>
              <a:p>
                <a:pPr algn="ctr" rtl="1">
                  <a:defRPr/>
                </a:pPr>
                <a:r>
                  <a:rPr lang="en-US" cap="none" sz="800" b="1" i="0" u="none" baseline="0">
                    <a:latin typeface="Arial"/>
                    <a:ea typeface="Arial"/>
                    <a:cs typeface="Arial"/>
                  </a:rPr>
                  <a:t>Km - uM</a:t>
                </a:r>
              </a:p>
            </c:rich>
          </c:tx>
          <c:layout/>
          <c:overlay val="0"/>
          <c:spPr>
            <a:noFill/>
            <a:ln>
              <a:noFill/>
            </a:ln>
          </c:spPr>
        </c:title>
        <c:delete val="0"/>
        <c:numFmt formatCode="General" sourceLinked="1"/>
        <c:majorTickMark val="out"/>
        <c:minorTickMark val="none"/>
        <c:tickLblPos val="nextTo"/>
        <c:spPr>
          <a:ln w="12700">
            <a:solidFill>
              <a:srgbClr val="000000"/>
            </a:solidFill>
          </a:ln>
        </c:spPr>
        <c:crossAx val="17885450"/>
        <c:crossesAt val="0"/>
        <c:crossBetween val="midCat"/>
        <c:dispUnits/>
      </c:valAx>
      <c:valAx>
        <c:axId val="17885450"/>
        <c:scaling>
          <c:orientation val="minMax"/>
          <c:max val="0.30000000000000004"/>
          <c:min val="0"/>
        </c:scaling>
        <c:axPos val="l"/>
        <c:title>
          <c:tx>
            <c:rich>
              <a:bodyPr vert="horz" rot="-5400000" anchor="ctr"/>
              <a:lstStyle/>
              <a:p>
                <a:pPr algn="ctr" rtl="1">
                  <a:defRPr/>
                </a:pPr>
                <a:r>
                  <a:rPr lang="en-US" cap="none" sz="800" b="1" i="0" u="none" baseline="0">
                    <a:latin typeface="Arial"/>
                    <a:ea typeface="Arial"/>
                    <a:cs typeface="Arial"/>
                  </a:rPr>
                  <a:t>Vmax - nmol/mg/min</a:t>
                </a:r>
              </a:p>
            </c:rich>
          </c:tx>
          <c:layout/>
          <c:overlay val="0"/>
          <c:spPr>
            <a:noFill/>
            <a:ln>
              <a:noFill/>
            </a:ln>
          </c:spPr>
        </c:title>
        <c:delete val="0"/>
        <c:numFmt formatCode="General" sourceLinked="1"/>
        <c:majorTickMark val="out"/>
        <c:minorTickMark val="none"/>
        <c:tickLblPos val="nextTo"/>
        <c:spPr>
          <a:ln w="12700">
            <a:solidFill>
              <a:srgbClr val="000000"/>
            </a:solidFill>
          </a:ln>
        </c:spPr>
        <c:crossAx val="16900353"/>
        <c:crossesAt val="2.5"/>
        <c:crossBetween val="midCat"/>
        <c:dispUnits/>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475"/>
          <c:y val="0.009"/>
          <c:w val="0.8705"/>
          <c:h val="0.91825"/>
        </c:manualLayout>
      </c:layout>
      <c:scatterChart>
        <c:scatterStyle val="lineMarker"/>
        <c:varyColors val="0"/>
        <c:ser>
          <c:idx val="0"/>
          <c:order val="0"/>
          <c:tx>
            <c:v>2600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xVal>
            <c:numRef>
              <c:f>'Kohl 2000Correlation 6'!__sm_QV_0_9c4_a28_860</c:f>
              <c:numCache>
                <c:ptCount val="6"/>
                <c:pt idx="0">
                  <c:v>32</c:v>
                </c:pt>
                <c:pt idx="1">
                  <c:v>37</c:v>
                </c:pt>
                <c:pt idx="2">
                  <c:v>11</c:v>
                </c:pt>
                <c:pt idx="3">
                  <c:v>73</c:v>
                </c:pt>
                <c:pt idx="4">
                  <c:v>40</c:v>
                </c:pt>
                <c:pt idx="5">
                  <c:v>768</c:v>
                </c:pt>
              </c:numCache>
            </c:numRef>
          </c:xVal>
          <c:yVal>
            <c:numRef>
              <c:f>'Kohl 2000Correlation 6'!__sm_QV_0_9c4_a28_861</c:f>
              <c:numCache>
                <c:ptCount val="6"/>
                <c:pt idx="0">
                  <c:v>94</c:v>
                </c:pt>
                <c:pt idx="1">
                  <c:v>79</c:v>
                </c:pt>
                <c:pt idx="2">
                  <c:v>40</c:v>
                </c:pt>
                <c:pt idx="3">
                  <c:v>44</c:v>
                </c:pt>
                <c:pt idx="4">
                  <c:v>94</c:v>
                </c:pt>
                <c:pt idx="5">
                  <c:v>1532</c:v>
                </c:pt>
              </c:numCache>
            </c:numRef>
          </c:yVal>
          <c:smooth val="0"/>
        </c:ser>
        <c:axId val="19373525"/>
        <c:axId val="40143998"/>
      </c:scatterChart>
      <c:valAx>
        <c:axId val="19373525"/>
        <c:scaling>
          <c:orientation val="minMax"/>
          <c:max val="800"/>
          <c:min val="0"/>
        </c:scaling>
        <c:axPos val="b"/>
        <c:title>
          <c:tx>
            <c:rich>
              <a:bodyPr vert="horz" rot="0" anchor="ctr"/>
              <a:lstStyle/>
              <a:p>
                <a:pPr algn="ctr" rtl="1">
                  <a:defRPr/>
                </a:pPr>
                <a:r>
                  <a:rPr lang="en-US" cap="none" sz="800" b="1" i="0" u="none" baseline="0">
                    <a:latin typeface="Arial"/>
                    <a:ea typeface="Arial"/>
                    <a:cs typeface="Arial"/>
                  </a:rPr>
                  <a:t>Km - uM</a:t>
                </a:r>
              </a:p>
            </c:rich>
          </c:tx>
          <c:layout/>
          <c:overlay val="0"/>
          <c:spPr>
            <a:noFill/>
            <a:ln>
              <a:noFill/>
            </a:ln>
          </c:spPr>
        </c:title>
        <c:delete val="0"/>
        <c:numFmt formatCode="General" sourceLinked="1"/>
        <c:majorTickMark val="out"/>
        <c:minorTickMark val="none"/>
        <c:tickLblPos val="nextTo"/>
        <c:spPr>
          <a:ln w="12700">
            <a:solidFill>
              <a:srgbClr val="000000"/>
            </a:solidFill>
          </a:ln>
        </c:spPr>
        <c:crossAx val="40143998"/>
        <c:crossesAt val="0"/>
        <c:crossBetween val="midCat"/>
        <c:dispUnits/>
      </c:valAx>
      <c:valAx>
        <c:axId val="40143998"/>
        <c:scaling>
          <c:orientation val="minMax"/>
          <c:max val="1600"/>
          <c:min val="0"/>
        </c:scaling>
        <c:axPos val="l"/>
        <c:title>
          <c:tx>
            <c:rich>
              <a:bodyPr vert="horz" rot="-5400000" anchor="ctr"/>
              <a:lstStyle/>
              <a:p>
                <a:pPr algn="ctr" rtl="1">
                  <a:defRPr/>
                </a:pPr>
                <a:r>
                  <a:rPr lang="en-US" cap="none" sz="800" b="1" i="0" u="none" baseline="0">
                    <a:latin typeface="Arial"/>
                    <a:ea typeface="Arial"/>
                    <a:cs typeface="Arial"/>
                  </a:rPr>
                  <a:t>Vmax - pmol/min mg</a:t>
                </a:r>
              </a:p>
            </c:rich>
          </c:tx>
          <c:layout/>
          <c:overlay val="0"/>
          <c:spPr>
            <a:noFill/>
            <a:ln>
              <a:noFill/>
            </a:ln>
          </c:spPr>
        </c:title>
        <c:delete val="0"/>
        <c:numFmt formatCode="General" sourceLinked="1"/>
        <c:majorTickMark val="out"/>
        <c:minorTickMark val="none"/>
        <c:tickLblPos val="nextTo"/>
        <c:spPr>
          <a:ln w="12700">
            <a:solidFill>
              <a:srgbClr val="000000"/>
            </a:solidFill>
          </a:ln>
        </c:spPr>
        <c:crossAx val="19373525"/>
        <c:crossesAt val="0"/>
        <c:crossBetween val="midCat"/>
        <c:dispUnits/>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475"/>
          <c:y val="0.009"/>
          <c:w val="0.8705"/>
          <c:h val="0.91825"/>
        </c:manualLayout>
      </c:layout>
      <c:scatterChart>
        <c:scatterStyle val="lineMarker"/>
        <c:varyColors val="0"/>
        <c:ser>
          <c:idx val="0"/>
          <c:order val="0"/>
          <c:tx>
            <c:v>2600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xVal>
            <c:numRef>
              <c:f>'Kobayashi Correlation '!__sm_QV_0_9c4_a28_860</c:f>
              <c:numCache>
                <c:ptCount val="5"/>
                <c:pt idx="0">
                  <c:v>51.1</c:v>
                </c:pt>
                <c:pt idx="1">
                  <c:v>43.3</c:v>
                </c:pt>
                <c:pt idx="2">
                  <c:v>38.3</c:v>
                </c:pt>
                <c:pt idx="3">
                  <c:v>25.8</c:v>
                </c:pt>
                <c:pt idx="4">
                  <c:v>38.7</c:v>
                </c:pt>
              </c:numCache>
            </c:numRef>
          </c:xVal>
          <c:yVal>
            <c:numRef>
              <c:f>'Kobayashi Correlation '!__sm_QV_0_9c4_a28_861</c:f>
              <c:numCache>
                <c:ptCount val="5"/>
                <c:pt idx="0">
                  <c:v>1.14</c:v>
                </c:pt>
                <c:pt idx="1">
                  <c:v>0.723</c:v>
                </c:pt>
                <c:pt idx="2">
                  <c:v>0.644</c:v>
                </c:pt>
                <c:pt idx="3">
                  <c:v>0.363</c:v>
                </c:pt>
                <c:pt idx="4">
                  <c:v>0.722</c:v>
                </c:pt>
              </c:numCache>
            </c:numRef>
          </c:yVal>
          <c:smooth val="0"/>
        </c:ser>
        <c:axId val="5509929"/>
        <c:axId val="49589362"/>
      </c:scatterChart>
      <c:valAx>
        <c:axId val="5509929"/>
        <c:scaling>
          <c:orientation val="minMax"/>
          <c:max val="55"/>
          <c:min val="25"/>
        </c:scaling>
        <c:axPos val="b"/>
        <c:title>
          <c:tx>
            <c:rich>
              <a:bodyPr vert="horz" rot="0" anchor="ctr"/>
              <a:lstStyle/>
              <a:p>
                <a:pPr algn="ctr" rtl="1">
                  <a:defRPr/>
                </a:pPr>
                <a:r>
                  <a:rPr lang="en-US" cap="none" sz="800" b="1" i="0" u="none" baseline="0">
                    <a:latin typeface="Arial"/>
                    <a:ea typeface="Arial"/>
                    <a:cs typeface="Arial"/>
                  </a:rPr>
                  <a:t>Km - uM</a:t>
                </a:r>
              </a:p>
            </c:rich>
          </c:tx>
          <c:layout/>
          <c:overlay val="0"/>
          <c:spPr>
            <a:noFill/>
            <a:ln>
              <a:noFill/>
            </a:ln>
          </c:spPr>
        </c:title>
        <c:delete val="0"/>
        <c:numFmt formatCode="General" sourceLinked="1"/>
        <c:majorTickMark val="out"/>
        <c:minorTickMark val="none"/>
        <c:tickLblPos val="nextTo"/>
        <c:spPr>
          <a:ln w="12700">
            <a:solidFill>
              <a:srgbClr val="000000"/>
            </a:solidFill>
          </a:ln>
        </c:spPr>
        <c:crossAx val="49589362"/>
        <c:crossesAt val="0.30000000000000004"/>
        <c:crossBetween val="midCat"/>
        <c:dispUnits/>
      </c:valAx>
      <c:valAx>
        <c:axId val="49589362"/>
        <c:scaling>
          <c:orientation val="minMax"/>
          <c:max val="1.2000000000000002"/>
          <c:min val="0.30000000000000004"/>
        </c:scaling>
        <c:axPos val="l"/>
        <c:title>
          <c:tx>
            <c:rich>
              <a:bodyPr vert="horz" rot="-5400000" anchor="ctr"/>
              <a:lstStyle/>
              <a:p>
                <a:pPr algn="ctr" rtl="1">
                  <a:defRPr/>
                </a:pPr>
                <a:r>
                  <a:rPr lang="en-US" cap="none" sz="800" b="1" i="0" u="none" baseline="0">
                    <a:latin typeface="Arial"/>
                    <a:ea typeface="Arial"/>
                    <a:cs typeface="Arial"/>
                  </a:rPr>
                  <a:t>Vmax - nmol/min/mg of protein</a:t>
                </a:r>
              </a:p>
            </c:rich>
          </c:tx>
          <c:layout/>
          <c:overlay val="0"/>
          <c:spPr>
            <a:noFill/>
            <a:ln>
              <a:noFill/>
            </a:ln>
          </c:spPr>
        </c:title>
        <c:delete val="0"/>
        <c:numFmt formatCode="General" sourceLinked="1"/>
        <c:majorTickMark val="out"/>
        <c:minorTickMark val="none"/>
        <c:tickLblPos val="nextTo"/>
        <c:spPr>
          <a:ln w="12700">
            <a:solidFill>
              <a:srgbClr val="000000"/>
            </a:solidFill>
          </a:ln>
        </c:spPr>
        <c:crossAx val="5509929"/>
        <c:crossesAt val="25"/>
        <c:crossBetween val="midCat"/>
        <c:dispUnits/>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475"/>
          <c:y val="0.009"/>
          <c:w val="0.8705"/>
          <c:h val="0.91825"/>
        </c:manualLayout>
      </c:layout>
      <c:scatterChart>
        <c:scatterStyle val="lineMarker"/>
        <c:varyColors val="0"/>
        <c:ser>
          <c:idx val="0"/>
          <c:order val="0"/>
          <c:tx>
            <c:v>2600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xVal>
            <c:numRef>
              <c:f>'Yasui-Correlation '!__sm_QV_0_9c4_a28_860</c:f>
              <c:numCache>
                <c:ptCount val="6"/>
                <c:pt idx="0">
                  <c:v>87.8</c:v>
                </c:pt>
                <c:pt idx="1">
                  <c:v>101</c:v>
                </c:pt>
                <c:pt idx="2">
                  <c:v>181</c:v>
                </c:pt>
                <c:pt idx="3">
                  <c:v>52</c:v>
                </c:pt>
                <c:pt idx="4">
                  <c:v>103</c:v>
                </c:pt>
                <c:pt idx="5">
                  <c:v>91.6</c:v>
                </c:pt>
              </c:numCache>
            </c:numRef>
          </c:xVal>
          <c:yVal>
            <c:numRef>
              <c:f>'Yasui-Correlation '!__sm_QV_0_9c4_a28_861</c:f>
              <c:numCache>
                <c:ptCount val="6"/>
                <c:pt idx="0">
                  <c:v>481</c:v>
                </c:pt>
                <c:pt idx="1">
                  <c:v>328</c:v>
                </c:pt>
                <c:pt idx="2">
                  <c:v>376</c:v>
                </c:pt>
                <c:pt idx="3">
                  <c:v>146</c:v>
                </c:pt>
                <c:pt idx="4">
                  <c:v>323</c:v>
                </c:pt>
                <c:pt idx="5">
                  <c:v>602</c:v>
                </c:pt>
              </c:numCache>
            </c:numRef>
          </c:yVal>
          <c:smooth val="0"/>
        </c:ser>
        <c:axId val="46076157"/>
        <c:axId val="12032230"/>
      </c:scatterChart>
      <c:valAx>
        <c:axId val="46076157"/>
        <c:scaling>
          <c:orientation val="minMax"/>
          <c:max val="200"/>
          <c:min val="40"/>
        </c:scaling>
        <c:axPos val="b"/>
        <c:title>
          <c:tx>
            <c:rich>
              <a:bodyPr vert="horz" rot="0" anchor="ctr"/>
              <a:lstStyle/>
              <a:p>
                <a:pPr algn="ctr" rtl="1">
                  <a:defRPr/>
                </a:pPr>
                <a:r>
                  <a:rPr lang="en-US" cap="none" sz="800" b="1" i="0" u="none" baseline="0">
                    <a:latin typeface="Arial"/>
                    <a:ea typeface="Arial"/>
                    <a:cs typeface="Arial"/>
                  </a:rPr>
                  <a:t>Km uM</a:t>
                </a:r>
              </a:p>
            </c:rich>
          </c:tx>
          <c:layout/>
          <c:overlay val="0"/>
          <c:spPr>
            <a:noFill/>
            <a:ln>
              <a:noFill/>
            </a:ln>
          </c:spPr>
        </c:title>
        <c:delete val="0"/>
        <c:numFmt formatCode="General" sourceLinked="1"/>
        <c:majorTickMark val="out"/>
        <c:minorTickMark val="none"/>
        <c:tickLblPos val="nextTo"/>
        <c:spPr>
          <a:ln w="12700">
            <a:solidFill>
              <a:srgbClr val="000000"/>
            </a:solidFill>
          </a:ln>
        </c:spPr>
        <c:crossAx val="12032230"/>
        <c:crossesAt val="100"/>
        <c:crossBetween val="midCat"/>
        <c:dispUnits/>
      </c:valAx>
      <c:valAx>
        <c:axId val="12032230"/>
        <c:scaling>
          <c:orientation val="minMax"/>
          <c:max val="650"/>
          <c:min val="100"/>
        </c:scaling>
        <c:axPos val="l"/>
        <c:title>
          <c:tx>
            <c:rich>
              <a:bodyPr vert="horz" rot="-5400000" anchor="ctr"/>
              <a:lstStyle/>
              <a:p>
                <a:pPr algn="ctr" rtl="1">
                  <a:defRPr/>
                </a:pPr>
                <a:r>
                  <a:rPr lang="en-US" cap="none" sz="800" b="1" i="0" u="none" baseline="0">
                    <a:latin typeface="Arial"/>
                    <a:ea typeface="Arial"/>
                    <a:cs typeface="Arial"/>
                  </a:rPr>
                  <a:t>Vmax metabolite/min/mg protein</a:t>
                </a:r>
              </a:p>
            </c:rich>
          </c:tx>
          <c:layout/>
          <c:overlay val="0"/>
          <c:spPr>
            <a:noFill/>
            <a:ln>
              <a:noFill/>
            </a:ln>
          </c:spPr>
        </c:title>
        <c:delete val="0"/>
        <c:numFmt formatCode="General" sourceLinked="1"/>
        <c:majorTickMark val="out"/>
        <c:minorTickMark val="none"/>
        <c:tickLblPos val="nextTo"/>
        <c:spPr>
          <a:ln w="12700">
            <a:solidFill>
              <a:srgbClr val="000000"/>
            </a:solidFill>
          </a:ln>
        </c:spPr>
        <c:crossAx val="46076157"/>
        <c:crossesAt val="40"/>
        <c:crossBetween val="midCat"/>
        <c:dispUnits/>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log Vmax/Km</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'Zhang 2002'!$S$8:$S$12</c:f>
              <c:numCache>
                <c:ptCount val="5"/>
                <c:pt idx="0">
                  <c:v>0</c:v>
                </c:pt>
                <c:pt idx="1">
                  <c:v>0</c:v>
                </c:pt>
                <c:pt idx="2">
                  <c:v>0</c:v>
                </c:pt>
                <c:pt idx="3">
                  <c:v>0</c:v>
                </c:pt>
                <c:pt idx="4">
                  <c:v>0</c:v>
                </c:pt>
              </c:numCache>
            </c:numRef>
          </c:xVal>
          <c:yVal>
            <c:numRef>
              <c:f>'Zhang 2002'!$Z$8:$Z$12</c:f>
              <c:numCache>
                <c:ptCount val="5"/>
                <c:pt idx="0">
                  <c:v>0</c:v>
                </c:pt>
                <c:pt idx="1">
                  <c:v>0</c:v>
                </c:pt>
                <c:pt idx="2">
                  <c:v>0</c:v>
                </c:pt>
                <c:pt idx="3">
                  <c:v>0</c:v>
                </c:pt>
                <c:pt idx="4">
                  <c:v>0</c:v>
                </c:pt>
              </c:numCache>
            </c:numRef>
          </c:yVal>
          <c:smooth val="0"/>
        </c:ser>
        <c:axId val="54745301"/>
        <c:axId val="22945662"/>
      </c:scatterChart>
      <c:valAx>
        <c:axId val="54745301"/>
        <c:scaling>
          <c:orientation val="minMax"/>
        </c:scaling>
        <c:axPos val="b"/>
        <c:title>
          <c:tx>
            <c:rich>
              <a:bodyPr vert="horz" rot="0" anchor="ctr"/>
              <a:lstStyle/>
              <a:p>
                <a:pPr algn="ctr">
                  <a:defRPr/>
                </a:pPr>
                <a:r>
                  <a:rPr lang="en-US" cap="none" sz="1000"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22945662"/>
        <c:crosses val="autoZero"/>
        <c:crossBetween val="midCat"/>
        <c:dispUnits/>
      </c:valAx>
      <c:valAx>
        <c:axId val="22945662"/>
        <c:scaling>
          <c:orientation val="minMax"/>
        </c:scaling>
        <c:axPos val="l"/>
        <c:title>
          <c:tx>
            <c:rich>
              <a:bodyPr vert="horz" rot="-5400000" anchor="ctr"/>
              <a:lstStyle/>
              <a:p>
                <a:pPr algn="ctr">
                  <a:defRPr/>
                </a:pPr>
                <a:r>
                  <a:rPr lang="en-US" cap="none" sz="1000" b="1" i="0" u="none" baseline="0">
                    <a:latin typeface="Arial"/>
                    <a:ea typeface="Arial"/>
                    <a:cs typeface="Arial"/>
                  </a:rPr>
                  <a:t>log Vmax/ Km</a:t>
                </a:r>
              </a:p>
            </c:rich>
          </c:tx>
          <c:layout/>
          <c:overlay val="0"/>
          <c:spPr>
            <a:noFill/>
            <a:ln>
              <a:noFill/>
            </a:ln>
          </c:spPr>
        </c:title>
        <c:majorGridlines/>
        <c:delete val="0"/>
        <c:numFmt formatCode="General" sourceLinked="1"/>
        <c:majorTickMark val="out"/>
        <c:minorTickMark val="none"/>
        <c:tickLblPos val="nextTo"/>
        <c:crossAx val="54745301"/>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475"/>
          <c:y val="0.009"/>
          <c:w val="0.8705"/>
          <c:h val="0.91825"/>
        </c:manualLayout>
      </c:layout>
      <c:scatterChart>
        <c:scatterStyle val="lineMarker"/>
        <c:varyColors val="0"/>
        <c:ser>
          <c:idx val="0"/>
          <c:order val="0"/>
          <c:tx>
            <c:v>2600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xVal>
            <c:numRef>
              <c:f>'grace 1988Correlation '!__sm_QV_0_9c4_a28_860</c:f>
              <c:numCache>
                <c:ptCount val="8"/>
                <c:pt idx="0">
                  <c:v>52.2</c:v>
                </c:pt>
                <c:pt idx="1">
                  <c:v>103.6</c:v>
                </c:pt>
                <c:pt idx="2">
                  <c:v>22.8</c:v>
                </c:pt>
                <c:pt idx="3">
                  <c:v>35.6</c:v>
                </c:pt>
                <c:pt idx="4">
                  <c:v>46</c:v>
                </c:pt>
                <c:pt idx="5">
                  <c:v>90</c:v>
                </c:pt>
                <c:pt idx="6">
                  <c:v>40.5</c:v>
                </c:pt>
                <c:pt idx="7">
                  <c:v>47.5</c:v>
                </c:pt>
              </c:numCache>
            </c:numRef>
          </c:xVal>
          <c:yVal>
            <c:numRef>
              <c:f>'grace 1988Correlation '!__sm_QV_0_9c4_a28_861</c:f>
              <c:numCache>
                <c:ptCount val="8"/>
                <c:pt idx="0">
                  <c:v>0.19</c:v>
                </c:pt>
                <c:pt idx="1">
                  <c:v>1.33</c:v>
                </c:pt>
                <c:pt idx="2">
                  <c:v>1.09</c:v>
                </c:pt>
                <c:pt idx="3">
                  <c:v>0.64</c:v>
                </c:pt>
                <c:pt idx="4">
                  <c:v>1.25</c:v>
                </c:pt>
                <c:pt idx="5">
                  <c:v>6.9</c:v>
                </c:pt>
                <c:pt idx="6">
                  <c:v>3.26</c:v>
                </c:pt>
                <c:pt idx="7">
                  <c:v>1.26</c:v>
                </c:pt>
              </c:numCache>
            </c:numRef>
          </c:yVal>
          <c:smooth val="0"/>
        </c:ser>
        <c:axId val="47343441"/>
        <c:axId val="23437786"/>
      </c:scatterChart>
      <c:valAx>
        <c:axId val="47343441"/>
        <c:scaling>
          <c:orientation val="minMax"/>
          <c:max val="110"/>
          <c:min val="20"/>
        </c:scaling>
        <c:axPos val="b"/>
        <c:title>
          <c:tx>
            <c:rich>
              <a:bodyPr vert="horz" rot="0" anchor="ctr"/>
              <a:lstStyle/>
              <a:p>
                <a:pPr algn="ctr" rtl="1">
                  <a:defRPr/>
                </a:pPr>
                <a:r>
                  <a:rPr lang="en-US" cap="none" sz="800" b="1" i="0" u="none" baseline="0">
                    <a:latin typeface="Arial"/>
                    <a:ea typeface="Arial"/>
                    <a:cs typeface="Arial"/>
                  </a:rPr>
                  <a:t>Km [AE]</a:t>
                </a:r>
              </a:p>
            </c:rich>
          </c:tx>
          <c:layout/>
          <c:overlay val="0"/>
          <c:spPr>
            <a:noFill/>
            <a:ln>
              <a:noFill/>
            </a:ln>
          </c:spPr>
        </c:title>
        <c:delete val="0"/>
        <c:numFmt formatCode="General" sourceLinked="1"/>
        <c:majorTickMark val="out"/>
        <c:minorTickMark val="none"/>
        <c:tickLblPos val="nextTo"/>
        <c:spPr>
          <a:ln w="12700">
            <a:solidFill>
              <a:srgbClr val="000000"/>
            </a:solidFill>
          </a:ln>
        </c:spPr>
        <c:crossAx val="23437786"/>
        <c:crossesAt val="0"/>
        <c:crossBetween val="midCat"/>
        <c:dispUnits/>
      </c:valAx>
      <c:valAx>
        <c:axId val="23437786"/>
        <c:scaling>
          <c:orientation val="minMax"/>
          <c:max val="7"/>
          <c:min val="0"/>
        </c:scaling>
        <c:axPos val="l"/>
        <c:title>
          <c:tx>
            <c:rich>
              <a:bodyPr vert="horz" rot="-5400000" anchor="ctr"/>
              <a:lstStyle/>
              <a:p>
                <a:pPr algn="ctr" rtl="1">
                  <a:defRPr/>
                </a:pPr>
                <a:r>
                  <a:rPr lang="en-US" cap="none" sz="800" b="1" i="0" u="none" baseline="0">
                    <a:latin typeface="Arial"/>
                    <a:ea typeface="Arial"/>
                    <a:cs typeface="Arial"/>
                  </a:rPr>
                  <a:t>Vmax</a:t>
                </a:r>
              </a:p>
            </c:rich>
          </c:tx>
          <c:layout/>
          <c:overlay val="0"/>
          <c:spPr>
            <a:noFill/>
            <a:ln>
              <a:noFill/>
            </a:ln>
          </c:spPr>
        </c:title>
        <c:delete val="0"/>
        <c:numFmt formatCode="General" sourceLinked="1"/>
        <c:majorTickMark val="out"/>
        <c:minorTickMark val="none"/>
        <c:tickLblPos val="nextTo"/>
        <c:spPr>
          <a:ln w="12700">
            <a:solidFill>
              <a:srgbClr val="000000"/>
            </a:solidFill>
          </a:ln>
        </c:spPr>
        <c:crossAx val="47343441"/>
        <c:crossesAt val="20"/>
        <c:crossBetween val="midCat"/>
        <c:dispUnits/>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475"/>
          <c:y val="0.009"/>
          <c:w val="0.8705"/>
          <c:h val="0.91825"/>
        </c:manualLayout>
      </c:layout>
      <c:scatterChart>
        <c:scatterStyle val="lineMarker"/>
        <c:varyColors val="0"/>
        <c:ser>
          <c:idx val="0"/>
          <c:order val="0"/>
          <c:tx>
            <c:v>2600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xVal>
            <c:numRef>
              <c:f>'Correlation Wu 1997'!__sm_QV_0_9c4_a28_860</c:f>
              <c:numCache>
                <c:ptCount val="6"/>
                <c:pt idx="0">
                  <c:v>57.5</c:v>
                </c:pt>
                <c:pt idx="1">
                  <c:v>46.1</c:v>
                </c:pt>
                <c:pt idx="2">
                  <c:v>99.2</c:v>
                </c:pt>
                <c:pt idx="3">
                  <c:v>68.9</c:v>
                </c:pt>
                <c:pt idx="4">
                  <c:v>38.4</c:v>
                </c:pt>
                <c:pt idx="5">
                  <c:v>45.1</c:v>
                </c:pt>
              </c:numCache>
            </c:numRef>
          </c:xVal>
          <c:yVal>
            <c:numRef>
              <c:f>'Correlation Wu 1997'!__sm_QV_0_9c4_a28_861</c:f>
              <c:numCache>
                <c:ptCount val="6"/>
                <c:pt idx="0">
                  <c:v>51.5</c:v>
                </c:pt>
                <c:pt idx="1">
                  <c:v>48</c:v>
                </c:pt>
                <c:pt idx="2">
                  <c:v>27.6</c:v>
                </c:pt>
                <c:pt idx="3">
                  <c:v>19.6</c:v>
                </c:pt>
                <c:pt idx="4">
                  <c:v>15</c:v>
                </c:pt>
                <c:pt idx="5">
                  <c:v>14.2</c:v>
                </c:pt>
              </c:numCache>
            </c:numRef>
          </c:yVal>
          <c:smooth val="0"/>
        </c:ser>
        <c:axId val="40494629"/>
        <c:axId val="28907342"/>
      </c:scatterChart>
      <c:valAx>
        <c:axId val="40494629"/>
        <c:scaling>
          <c:orientation val="minMax"/>
          <c:max val="100"/>
          <c:min val="30"/>
        </c:scaling>
        <c:axPos val="b"/>
        <c:title>
          <c:tx>
            <c:rich>
              <a:bodyPr vert="horz" rot="0" anchor="ctr"/>
              <a:lstStyle/>
              <a:p>
                <a:pPr algn="ctr" rtl="1">
                  <a:defRPr/>
                </a:pPr>
                <a:r>
                  <a:rPr lang="en-US" cap="none" sz="800" b="1" i="0" u="none" baseline="0">
                    <a:latin typeface="Arial"/>
                    <a:ea typeface="Arial"/>
                    <a:cs typeface="Arial"/>
                  </a:rPr>
                  <a:t>Km (uM)</a:t>
                </a:r>
              </a:p>
            </c:rich>
          </c:tx>
          <c:layout/>
          <c:overlay val="0"/>
          <c:spPr>
            <a:noFill/>
            <a:ln>
              <a:noFill/>
            </a:ln>
          </c:spPr>
        </c:title>
        <c:delete val="0"/>
        <c:numFmt formatCode="General" sourceLinked="1"/>
        <c:majorTickMark val="out"/>
        <c:minorTickMark val="none"/>
        <c:tickLblPos val="nextTo"/>
        <c:spPr>
          <a:ln w="12700">
            <a:solidFill>
              <a:srgbClr val="000000"/>
            </a:solidFill>
          </a:ln>
        </c:spPr>
        <c:crossAx val="28907342"/>
        <c:crossesAt val="10"/>
        <c:crossBetween val="midCat"/>
        <c:dispUnits/>
      </c:valAx>
      <c:valAx>
        <c:axId val="28907342"/>
        <c:scaling>
          <c:orientation val="minMax"/>
          <c:max val="55"/>
          <c:min val="10"/>
        </c:scaling>
        <c:axPos val="l"/>
        <c:title>
          <c:tx>
            <c:rich>
              <a:bodyPr vert="horz" rot="-5400000" anchor="ctr"/>
              <a:lstStyle/>
              <a:p>
                <a:pPr algn="ctr" rtl="1">
                  <a:defRPr/>
                </a:pPr>
                <a:r>
                  <a:rPr lang="en-US" cap="none" sz="800" b="1" i="0" u="none" baseline="0">
                    <a:latin typeface="Arial"/>
                    <a:ea typeface="Arial"/>
                    <a:cs typeface="Arial"/>
                  </a:rPr>
                  <a:t>Vmax nmol/mg/hr</a:t>
                </a:r>
              </a:p>
            </c:rich>
          </c:tx>
          <c:layout/>
          <c:overlay val="0"/>
          <c:spPr>
            <a:noFill/>
            <a:ln>
              <a:noFill/>
            </a:ln>
          </c:spPr>
        </c:title>
        <c:delete val="0"/>
        <c:numFmt formatCode="General" sourceLinked="1"/>
        <c:majorTickMark val="out"/>
        <c:minorTickMark val="none"/>
        <c:tickLblPos val="nextTo"/>
        <c:spPr>
          <a:ln w="12700">
            <a:solidFill>
              <a:srgbClr val="000000"/>
            </a:solidFill>
          </a:ln>
        </c:spPr>
        <c:crossAx val="40494629"/>
        <c:crossesAt val="30"/>
        <c:crossBetween val="midCat"/>
        <c:dispUnits/>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475"/>
          <c:y val="0.009"/>
          <c:w val="0.8705"/>
          <c:h val="0.91825"/>
        </c:manualLayout>
      </c:layout>
      <c:scatterChart>
        <c:scatterStyle val="lineMarker"/>
        <c:varyColors val="0"/>
        <c:ser>
          <c:idx val="0"/>
          <c:order val="0"/>
          <c:tx>
            <c:v>2600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xVal>
            <c:numRef>
              <c:f>'Correlation thummel 1994'!__sm_QV_0_9c4_a28_860</c:f>
              <c:numCache>
                <c:ptCount val="5"/>
                <c:pt idx="0">
                  <c:v>1.06</c:v>
                </c:pt>
                <c:pt idx="1">
                  <c:v>0.28</c:v>
                </c:pt>
                <c:pt idx="2">
                  <c:v>1.08</c:v>
                </c:pt>
                <c:pt idx="3">
                  <c:v>1.53</c:v>
                </c:pt>
                <c:pt idx="4">
                  <c:v>0.95</c:v>
                </c:pt>
              </c:numCache>
            </c:numRef>
          </c:xVal>
          <c:yVal>
            <c:numRef>
              <c:f>'Correlation thummel 1994'!__sm_QV_0_9c4_a28_861</c:f>
              <c:numCache>
                <c:ptCount val="5"/>
                <c:pt idx="0">
                  <c:v>98.2</c:v>
                </c:pt>
                <c:pt idx="1">
                  <c:v>18.5</c:v>
                </c:pt>
                <c:pt idx="2">
                  <c:v>261.7</c:v>
                </c:pt>
                <c:pt idx="3">
                  <c:v>532.9</c:v>
                </c:pt>
                <c:pt idx="4">
                  <c:v>162.6</c:v>
                </c:pt>
              </c:numCache>
            </c:numRef>
          </c:yVal>
          <c:smooth val="0"/>
        </c:ser>
        <c:axId val="1269113"/>
        <c:axId val="11422018"/>
      </c:scatterChart>
      <c:valAx>
        <c:axId val="1269113"/>
        <c:scaling>
          <c:orientation val="minMax"/>
          <c:max val="1.6"/>
          <c:min val="0.2"/>
        </c:scaling>
        <c:axPos val="b"/>
        <c:title>
          <c:tx>
            <c:rich>
              <a:bodyPr vert="horz" rot="0" anchor="ctr"/>
              <a:lstStyle/>
              <a:p>
                <a:pPr algn="ctr" rtl="1">
                  <a:defRPr/>
                </a:pPr>
                <a:r>
                  <a:rPr lang="en-US" cap="none" sz="800" b="1" i="0" u="none" baseline="0">
                    <a:latin typeface="Arial"/>
                    <a:ea typeface="Arial"/>
                    <a:cs typeface="Arial"/>
                  </a:rPr>
                  <a:t>Km - uM</a:t>
                </a:r>
              </a:p>
            </c:rich>
          </c:tx>
          <c:layout/>
          <c:overlay val="0"/>
          <c:spPr>
            <a:noFill/>
            <a:ln>
              <a:noFill/>
            </a:ln>
          </c:spPr>
        </c:title>
        <c:delete val="0"/>
        <c:numFmt formatCode="General" sourceLinked="1"/>
        <c:majorTickMark val="out"/>
        <c:minorTickMark val="none"/>
        <c:tickLblPos val="nextTo"/>
        <c:spPr>
          <a:ln w="12700">
            <a:solidFill>
              <a:srgbClr val="000000"/>
            </a:solidFill>
          </a:ln>
        </c:spPr>
        <c:crossAx val="11422018"/>
        <c:crossesAt val="0"/>
        <c:crossBetween val="midCat"/>
        <c:dispUnits/>
      </c:valAx>
      <c:valAx>
        <c:axId val="11422018"/>
        <c:scaling>
          <c:orientation val="minMax"/>
          <c:max val="600"/>
          <c:min val="0"/>
        </c:scaling>
        <c:axPos val="l"/>
        <c:title>
          <c:tx>
            <c:rich>
              <a:bodyPr vert="horz" rot="-5400000" anchor="ctr"/>
              <a:lstStyle/>
              <a:p>
                <a:pPr algn="ctr" rtl="1">
                  <a:defRPr/>
                </a:pPr>
                <a:r>
                  <a:rPr lang="en-US" cap="none" sz="800" b="1" i="0" u="none" baseline="0">
                    <a:latin typeface="Arial"/>
                    <a:ea typeface="Arial"/>
                    <a:cs typeface="Arial"/>
                  </a:rPr>
                  <a:t>Vmax (S-13) - umol/min/mg</a:t>
                </a:r>
              </a:p>
            </c:rich>
          </c:tx>
          <c:layout/>
          <c:overlay val="0"/>
          <c:spPr>
            <a:noFill/>
            <a:ln>
              <a:noFill/>
            </a:ln>
          </c:spPr>
        </c:title>
        <c:delete val="0"/>
        <c:numFmt formatCode="General" sourceLinked="1"/>
        <c:majorTickMark val="out"/>
        <c:minorTickMark val="none"/>
        <c:tickLblPos val="nextTo"/>
        <c:spPr>
          <a:ln w="12700">
            <a:solidFill>
              <a:srgbClr val="000000"/>
            </a:solidFill>
          </a:ln>
        </c:spPr>
        <c:crossAx val="1269113"/>
        <c:crossesAt val="0.2"/>
        <c:crossBetween val="midCat"/>
        <c:dispUnits/>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475"/>
          <c:y val="0.009"/>
          <c:w val="0.8705"/>
          <c:h val="0.91825"/>
        </c:manualLayout>
      </c:layout>
      <c:scatterChart>
        <c:scatterStyle val="lineMarker"/>
        <c:varyColors val="0"/>
        <c:ser>
          <c:idx val="0"/>
          <c:order val="0"/>
          <c:tx>
            <c:v>2600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xVal>
            <c:numRef>
              <c:f>'Correlation botsh'!__sm_QV_0_9c4_a28_860</c:f>
              <c:numCache>
                <c:ptCount val="7"/>
                <c:pt idx="0">
                  <c:v>104</c:v>
                </c:pt>
                <c:pt idx="1">
                  <c:v>154</c:v>
                </c:pt>
                <c:pt idx="2">
                  <c:v>91</c:v>
                </c:pt>
                <c:pt idx="3">
                  <c:v>81</c:v>
                </c:pt>
                <c:pt idx="4">
                  <c:v>105</c:v>
                </c:pt>
                <c:pt idx="5">
                  <c:v>115</c:v>
                </c:pt>
                <c:pt idx="6">
                  <c:v>128</c:v>
                </c:pt>
              </c:numCache>
            </c:numRef>
          </c:xVal>
          <c:yVal>
            <c:numRef>
              <c:f>'Correlation botsh'!__sm_QV_0_9c4_a28_861</c:f>
              <c:numCache>
                <c:ptCount val="7"/>
                <c:pt idx="0">
                  <c:v>96.6</c:v>
                </c:pt>
                <c:pt idx="1">
                  <c:v>63.3</c:v>
                </c:pt>
                <c:pt idx="2">
                  <c:v>30</c:v>
                </c:pt>
                <c:pt idx="3">
                  <c:v>160</c:v>
                </c:pt>
                <c:pt idx="4">
                  <c:v>165</c:v>
                </c:pt>
                <c:pt idx="5">
                  <c:v>19.5</c:v>
                </c:pt>
                <c:pt idx="6">
                  <c:v>201.7</c:v>
                </c:pt>
              </c:numCache>
            </c:numRef>
          </c:yVal>
          <c:smooth val="0"/>
        </c:ser>
        <c:axId val="5152077"/>
        <c:axId val="46368694"/>
      </c:scatterChart>
      <c:valAx>
        <c:axId val="5152077"/>
        <c:scaling>
          <c:orientation val="minMax"/>
          <c:max val="160"/>
          <c:min val="80"/>
        </c:scaling>
        <c:axPos val="b"/>
        <c:title>
          <c:tx>
            <c:rich>
              <a:bodyPr vert="horz" rot="0" anchor="ctr"/>
              <a:lstStyle/>
              <a:p>
                <a:pPr algn="ctr" rtl="1">
                  <a:defRPr/>
                </a:pPr>
                <a:r>
                  <a:rPr lang="en-US" cap="none" sz="800" b="1" i="0" u="none" baseline="0">
                    <a:latin typeface="Arial"/>
                    <a:ea typeface="Arial"/>
                    <a:cs typeface="Arial"/>
                  </a:rPr>
                  <a:t>Km - uM</a:t>
                </a:r>
              </a:p>
            </c:rich>
          </c:tx>
          <c:layout/>
          <c:overlay val="0"/>
          <c:spPr>
            <a:noFill/>
            <a:ln>
              <a:noFill/>
            </a:ln>
          </c:spPr>
        </c:title>
        <c:delete val="0"/>
        <c:numFmt formatCode="General" sourceLinked="1"/>
        <c:majorTickMark val="out"/>
        <c:minorTickMark val="none"/>
        <c:tickLblPos val="nextTo"/>
        <c:spPr>
          <a:ln w="12700">
            <a:solidFill>
              <a:srgbClr val="000000"/>
            </a:solidFill>
          </a:ln>
        </c:spPr>
        <c:crossAx val="46368694"/>
        <c:crossesAt val="0"/>
        <c:crossBetween val="midCat"/>
        <c:dispUnits/>
      </c:valAx>
      <c:valAx>
        <c:axId val="46368694"/>
        <c:scaling>
          <c:orientation val="minMax"/>
          <c:max val="220"/>
          <c:min val="0"/>
        </c:scaling>
        <c:axPos val="l"/>
        <c:title>
          <c:tx>
            <c:rich>
              <a:bodyPr vert="horz" rot="-5400000" anchor="ctr"/>
              <a:lstStyle/>
              <a:p>
                <a:pPr algn="ctr" rtl="1">
                  <a:defRPr/>
                </a:pPr>
                <a:r>
                  <a:rPr lang="en-US" cap="none" sz="800" b="1" i="0" u="none" baseline="0">
                    <a:latin typeface="Arial"/>
                    <a:ea typeface="Arial"/>
                    <a:cs typeface="Arial"/>
                  </a:rPr>
                  <a:t>Vmax - pmol/mg protein/ min</a:t>
                </a:r>
              </a:p>
            </c:rich>
          </c:tx>
          <c:layout/>
          <c:overlay val="0"/>
          <c:spPr>
            <a:noFill/>
            <a:ln>
              <a:noFill/>
            </a:ln>
          </c:spPr>
        </c:title>
        <c:delete val="0"/>
        <c:numFmt formatCode="General" sourceLinked="1"/>
        <c:majorTickMark val="out"/>
        <c:minorTickMark val="none"/>
        <c:tickLblPos val="nextTo"/>
        <c:spPr>
          <a:ln w="12700">
            <a:solidFill>
              <a:srgbClr val="000000"/>
            </a:solidFill>
          </a:ln>
        </c:spPr>
        <c:crossAx val="5152077"/>
        <c:crossesAt val="80"/>
        <c:crossBetween val="midCat"/>
        <c:dispUnits/>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475"/>
          <c:y val="0.009"/>
          <c:w val="0.8705"/>
          <c:h val="0.91825"/>
        </c:manualLayout>
      </c:layout>
      <c:scatterChart>
        <c:scatterStyle val="lineMarker"/>
        <c:varyColors val="0"/>
        <c:ser>
          <c:idx val="0"/>
          <c:order val="0"/>
          <c:tx>
            <c:v>2600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xVal>
            <c:numRef>
              <c:f>'Correlation kumar 94'!__sm_QV_0_9c4_a28_860</c:f>
              <c:numCache>
                <c:ptCount val="6"/>
                <c:pt idx="0">
                  <c:v>22.1</c:v>
                </c:pt>
                <c:pt idx="1">
                  <c:v>18.8</c:v>
                </c:pt>
                <c:pt idx="2">
                  <c:v>39.7</c:v>
                </c:pt>
                <c:pt idx="3">
                  <c:v>12.5</c:v>
                </c:pt>
                <c:pt idx="4">
                  <c:v>8.4</c:v>
                </c:pt>
                <c:pt idx="5">
                  <c:v>6.6</c:v>
                </c:pt>
              </c:numCache>
            </c:numRef>
          </c:xVal>
          <c:yVal>
            <c:numRef>
              <c:f>'Correlation kumar 94'!__sm_QV_0_9c4_a28_861</c:f>
              <c:numCache>
                <c:ptCount val="6"/>
                <c:pt idx="0">
                  <c:v>0.78</c:v>
                </c:pt>
                <c:pt idx="1">
                  <c:v>0.7</c:v>
                </c:pt>
                <c:pt idx="2">
                  <c:v>0.88</c:v>
                </c:pt>
                <c:pt idx="3">
                  <c:v>2.67</c:v>
                </c:pt>
                <c:pt idx="4">
                  <c:v>1.55</c:v>
                </c:pt>
                <c:pt idx="5">
                  <c:v>0.22</c:v>
                </c:pt>
              </c:numCache>
            </c:numRef>
          </c:yVal>
          <c:smooth val="0"/>
        </c:ser>
        <c:axId val="47019425"/>
        <c:axId val="20521642"/>
      </c:scatterChart>
      <c:valAx>
        <c:axId val="47019425"/>
        <c:scaling>
          <c:orientation val="minMax"/>
          <c:max val="40"/>
          <c:min val="5"/>
        </c:scaling>
        <c:axPos val="b"/>
        <c:title>
          <c:tx>
            <c:rich>
              <a:bodyPr vert="horz" rot="0" anchor="ctr"/>
              <a:lstStyle/>
              <a:p>
                <a:pPr algn="ctr" rtl="1">
                  <a:defRPr/>
                </a:pPr>
                <a:r>
                  <a:rPr lang="en-US" cap="none" sz="800" b="1" i="0" u="none" baseline="0">
                    <a:latin typeface="Arial"/>
                    <a:ea typeface="Arial"/>
                    <a:cs typeface="Arial"/>
                  </a:rPr>
                  <a:t>Km - uM</a:t>
                </a:r>
              </a:p>
            </c:rich>
          </c:tx>
          <c:layout/>
          <c:overlay val="0"/>
          <c:spPr>
            <a:noFill/>
            <a:ln>
              <a:noFill/>
            </a:ln>
          </c:spPr>
        </c:title>
        <c:delete val="0"/>
        <c:numFmt formatCode="General" sourceLinked="1"/>
        <c:majorTickMark val="out"/>
        <c:minorTickMark val="none"/>
        <c:tickLblPos val="nextTo"/>
        <c:spPr>
          <a:ln w="12700">
            <a:solidFill>
              <a:srgbClr val="000000"/>
            </a:solidFill>
          </a:ln>
        </c:spPr>
        <c:crossAx val="20521642"/>
        <c:crossesAt val="0"/>
        <c:crossBetween val="midCat"/>
        <c:dispUnits/>
      </c:valAx>
      <c:valAx>
        <c:axId val="20521642"/>
        <c:scaling>
          <c:orientation val="minMax"/>
          <c:max val="3"/>
          <c:min val="0"/>
        </c:scaling>
        <c:axPos val="l"/>
        <c:title>
          <c:tx>
            <c:rich>
              <a:bodyPr vert="horz" rot="-5400000" anchor="ctr"/>
              <a:lstStyle/>
              <a:p>
                <a:pPr algn="ctr" rtl="1">
                  <a:defRPr/>
                </a:pPr>
                <a:r>
                  <a:rPr lang="en-US" cap="none" sz="800" b="1" i="0" u="none" baseline="0">
                    <a:latin typeface="Arial"/>
                    <a:ea typeface="Arial"/>
                    <a:cs typeface="Arial"/>
                  </a:rPr>
                  <a:t>Vmax - nmol/hr/mg protein</a:t>
                </a:r>
              </a:p>
            </c:rich>
          </c:tx>
          <c:layout/>
          <c:overlay val="0"/>
          <c:spPr>
            <a:noFill/>
            <a:ln>
              <a:noFill/>
            </a:ln>
          </c:spPr>
        </c:title>
        <c:delete val="0"/>
        <c:numFmt formatCode="General" sourceLinked="1"/>
        <c:majorTickMark val="out"/>
        <c:minorTickMark val="none"/>
        <c:tickLblPos val="nextTo"/>
        <c:spPr>
          <a:ln w="12700">
            <a:solidFill>
              <a:srgbClr val="000000"/>
            </a:solidFill>
          </a:ln>
        </c:spPr>
        <c:crossAx val="47019425"/>
        <c:crossesAt val="5"/>
        <c:crossBetween val="midCat"/>
        <c:dispUnits/>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CEO Hydrolysis</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'Keddaris 1993'!$N$12:$N$17</c:f>
              <c:numCache>
                <c:ptCount val="6"/>
                <c:pt idx="0">
                  <c:v>0</c:v>
                </c:pt>
                <c:pt idx="1">
                  <c:v>0</c:v>
                </c:pt>
                <c:pt idx="2">
                  <c:v>0</c:v>
                </c:pt>
                <c:pt idx="3">
                  <c:v>0</c:v>
                </c:pt>
                <c:pt idx="4">
                  <c:v>0</c:v>
                </c:pt>
                <c:pt idx="5">
                  <c:v>0</c:v>
                </c:pt>
              </c:numCache>
            </c:numRef>
          </c:xVal>
          <c:yVal>
            <c:numRef>
              <c:f>'Keddaris 1993'!$P$12:$P$17</c:f>
              <c:numCache>
                <c:ptCount val="6"/>
                <c:pt idx="0">
                  <c:v>0</c:v>
                </c:pt>
                <c:pt idx="1">
                  <c:v>0</c:v>
                </c:pt>
                <c:pt idx="2">
                  <c:v>0</c:v>
                </c:pt>
                <c:pt idx="3">
                  <c:v>0</c:v>
                </c:pt>
                <c:pt idx="4">
                  <c:v>0</c:v>
                </c:pt>
                <c:pt idx="5">
                  <c:v>0</c:v>
                </c:pt>
              </c:numCache>
            </c:numRef>
          </c:yVal>
          <c:smooth val="0"/>
        </c:ser>
        <c:axId val="5184367"/>
        <c:axId val="46659304"/>
      </c:scatterChart>
      <c:valAx>
        <c:axId val="5184367"/>
        <c:scaling>
          <c:orientation val="minMax"/>
        </c:scaling>
        <c:axPos val="b"/>
        <c:title>
          <c:tx>
            <c:rich>
              <a:bodyPr vert="horz" rot="0" anchor="ctr"/>
              <a:lstStyle/>
              <a:p>
                <a:pPr algn="ctr" rtl="1">
                  <a:defRPr/>
                </a:pPr>
                <a:r>
                  <a:rPr lang="en-US" cap="none" sz="1000"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46659304"/>
        <c:crosses val="autoZero"/>
        <c:crossBetween val="midCat"/>
        <c:dispUnits/>
      </c:valAx>
      <c:valAx>
        <c:axId val="46659304"/>
        <c:scaling>
          <c:orientation val="minMax"/>
        </c:scaling>
        <c:axPos val="l"/>
        <c:title>
          <c:tx>
            <c:rich>
              <a:bodyPr vert="horz" rot="-5400000" anchor="ctr"/>
              <a:lstStyle/>
              <a:p>
                <a:pPr algn="ctr" rtl="1">
                  <a:defRPr/>
                </a:pPr>
                <a:r>
                  <a:rPr lang="en-US" cap="none" sz="1000" b="1" i="0" u="none" baseline="0">
                    <a:latin typeface="Arial"/>
                    <a:ea typeface="Arial"/>
                    <a:cs typeface="Arial"/>
                  </a:rPr>
                  <a:t>Vmax</a:t>
                </a:r>
              </a:p>
            </c:rich>
          </c:tx>
          <c:layout/>
          <c:overlay val="0"/>
          <c:spPr>
            <a:noFill/>
            <a:ln>
              <a:noFill/>
            </a:ln>
          </c:spPr>
        </c:title>
        <c:majorGridlines/>
        <c:delete val="0"/>
        <c:numFmt formatCode="General" sourceLinked="1"/>
        <c:majorTickMark val="out"/>
        <c:minorTickMark val="none"/>
        <c:tickLblPos val="nextTo"/>
        <c:crossAx val="5184367"/>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'Keddaris 1993'!$N$12:$N$17</c:f>
              <c:numCache>
                <c:ptCount val="6"/>
                <c:pt idx="0">
                  <c:v>0</c:v>
                </c:pt>
                <c:pt idx="1">
                  <c:v>0</c:v>
                </c:pt>
                <c:pt idx="2">
                  <c:v>0</c:v>
                </c:pt>
                <c:pt idx="3">
                  <c:v>0</c:v>
                </c:pt>
                <c:pt idx="4">
                  <c:v>0</c:v>
                </c:pt>
                <c:pt idx="5">
                  <c:v>0</c:v>
                </c:pt>
              </c:numCache>
            </c:numRef>
          </c:xVal>
          <c:yVal>
            <c:numRef>
              <c:f>'Keddaris 1993'!$Q$12:$Q$17</c:f>
              <c:numCache>
                <c:ptCount val="6"/>
                <c:pt idx="0">
                  <c:v>0</c:v>
                </c:pt>
                <c:pt idx="1">
                  <c:v>0</c:v>
                </c:pt>
                <c:pt idx="2">
                  <c:v>0</c:v>
                </c:pt>
                <c:pt idx="3">
                  <c:v>0</c:v>
                </c:pt>
                <c:pt idx="4">
                  <c:v>0</c:v>
                </c:pt>
                <c:pt idx="5">
                  <c:v>0</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trendline>
            <c:trendlineType val="linear"/>
            <c:dispEq val="1"/>
            <c:dispRSqr val="1"/>
            <c:trendlineLbl>
              <c:layout>
                <c:manualLayout>
                  <c:x val="0"/>
                  <c:y val="0"/>
                </c:manualLayout>
              </c:layout>
              <c:numFmt formatCode="General"/>
            </c:trendlineLbl>
          </c:trendline>
          <c:xVal>
            <c:numRef>
              <c:f>'Keddaris 1993'!$N$12:$N$17</c:f>
              <c:numCache>
                <c:ptCount val="6"/>
                <c:pt idx="0">
                  <c:v>0</c:v>
                </c:pt>
                <c:pt idx="1">
                  <c:v>0</c:v>
                </c:pt>
                <c:pt idx="2">
                  <c:v>0</c:v>
                </c:pt>
                <c:pt idx="3">
                  <c:v>0</c:v>
                </c:pt>
                <c:pt idx="4">
                  <c:v>0</c:v>
                </c:pt>
                <c:pt idx="5">
                  <c:v>0</c:v>
                </c:pt>
              </c:numCache>
            </c:numRef>
          </c:xVal>
          <c:yVal>
            <c:numRef>
              <c:f>'Keddaris 1993'!$R$12:$R$17</c:f>
              <c:numCache>
                <c:ptCount val="6"/>
                <c:pt idx="0">
                  <c:v>0</c:v>
                </c:pt>
                <c:pt idx="1">
                  <c:v>0</c:v>
                </c:pt>
                <c:pt idx="2">
                  <c:v>0</c:v>
                </c:pt>
                <c:pt idx="3">
                  <c:v>0</c:v>
                </c:pt>
                <c:pt idx="4">
                  <c:v>0</c:v>
                </c:pt>
                <c:pt idx="5">
                  <c:v>0</c:v>
                </c:pt>
              </c:numCache>
            </c:numRef>
          </c:yVal>
          <c:smooth val="0"/>
        </c:ser>
        <c:axId val="17280553"/>
        <c:axId val="21307250"/>
      </c:scatterChart>
      <c:valAx>
        <c:axId val="17280553"/>
        <c:scaling>
          <c:orientation val="minMax"/>
        </c:scaling>
        <c:axPos val="b"/>
        <c:delete val="0"/>
        <c:numFmt formatCode="General" sourceLinked="1"/>
        <c:majorTickMark val="out"/>
        <c:minorTickMark val="none"/>
        <c:tickLblPos val="nextTo"/>
        <c:crossAx val="21307250"/>
        <c:crosses val="autoZero"/>
        <c:crossBetween val="midCat"/>
        <c:dispUnits/>
      </c:valAx>
      <c:valAx>
        <c:axId val="21307250"/>
        <c:scaling>
          <c:orientation val="minMax"/>
        </c:scaling>
        <c:axPos val="l"/>
        <c:majorGridlines/>
        <c:delete val="0"/>
        <c:numFmt formatCode="General" sourceLinked="1"/>
        <c:majorTickMark val="out"/>
        <c:minorTickMark val="none"/>
        <c:tickLblPos val="nextTo"/>
        <c:crossAx val="17280553"/>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log </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'Keddaris 1993'!$N$12:$N$17</c:f>
              <c:numCache>
                <c:ptCount val="6"/>
                <c:pt idx="0">
                  <c:v>0</c:v>
                </c:pt>
                <c:pt idx="1">
                  <c:v>0</c:v>
                </c:pt>
                <c:pt idx="2">
                  <c:v>0</c:v>
                </c:pt>
                <c:pt idx="3">
                  <c:v>0</c:v>
                </c:pt>
                <c:pt idx="4">
                  <c:v>0</c:v>
                </c:pt>
                <c:pt idx="5">
                  <c:v>0</c:v>
                </c:pt>
              </c:numCache>
            </c:numRef>
          </c:xVal>
          <c:yVal>
            <c:numRef>
              <c:f>'Keddaris 1993'!$T$12:$T$17</c:f>
              <c:numCache>
                <c:ptCount val="6"/>
                <c:pt idx="0">
                  <c:v>0</c:v>
                </c:pt>
                <c:pt idx="1">
                  <c:v>0</c:v>
                </c:pt>
                <c:pt idx="2">
                  <c:v>0</c:v>
                </c:pt>
                <c:pt idx="3">
                  <c:v>0</c:v>
                </c:pt>
                <c:pt idx="4">
                  <c:v>0</c:v>
                </c:pt>
                <c:pt idx="5">
                  <c:v>0</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trendline>
            <c:trendlineType val="linear"/>
            <c:dispEq val="1"/>
            <c:dispRSqr val="1"/>
            <c:trendlineLbl>
              <c:layout>
                <c:manualLayout>
                  <c:x val="0"/>
                  <c:y val="0"/>
                </c:manualLayout>
              </c:layout>
              <c:numFmt formatCode="General"/>
            </c:trendlineLbl>
          </c:trendline>
          <c:xVal>
            <c:numRef>
              <c:f>'Keddaris 1993'!$N$12:$N$17</c:f>
              <c:numCache>
                <c:ptCount val="6"/>
                <c:pt idx="0">
                  <c:v>0</c:v>
                </c:pt>
                <c:pt idx="1">
                  <c:v>0</c:v>
                </c:pt>
                <c:pt idx="2">
                  <c:v>0</c:v>
                </c:pt>
                <c:pt idx="3">
                  <c:v>0</c:v>
                </c:pt>
                <c:pt idx="4">
                  <c:v>0</c:v>
                </c:pt>
                <c:pt idx="5">
                  <c:v>0</c:v>
                </c:pt>
              </c:numCache>
            </c:numRef>
          </c:xVal>
          <c:yVal>
            <c:numRef>
              <c:f>'Keddaris 1993'!$U$12:$U$17</c:f>
              <c:numCache>
                <c:ptCount val="6"/>
                <c:pt idx="0">
                  <c:v>0</c:v>
                </c:pt>
                <c:pt idx="1">
                  <c:v>0</c:v>
                </c:pt>
                <c:pt idx="2">
                  <c:v>0</c:v>
                </c:pt>
                <c:pt idx="3">
                  <c:v>0</c:v>
                </c:pt>
                <c:pt idx="4">
                  <c:v>0</c:v>
                </c:pt>
                <c:pt idx="5">
                  <c:v>0</c:v>
                </c:pt>
              </c:numCache>
            </c:numRef>
          </c:y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trendline>
            <c:trendlineType val="linear"/>
            <c:dispEq val="1"/>
            <c:dispRSqr val="1"/>
            <c:trendlineLbl>
              <c:layout>
                <c:manualLayout>
                  <c:x val="0"/>
                  <c:y val="0"/>
                </c:manualLayout>
              </c:layout>
              <c:numFmt formatCode="General"/>
            </c:trendlineLbl>
          </c:trendline>
          <c:xVal>
            <c:numRef>
              <c:f>'Keddaris 1993'!$N$12:$N$17</c:f>
              <c:numCache>
                <c:ptCount val="6"/>
                <c:pt idx="0">
                  <c:v>0</c:v>
                </c:pt>
                <c:pt idx="1">
                  <c:v>0</c:v>
                </c:pt>
                <c:pt idx="2">
                  <c:v>0</c:v>
                </c:pt>
                <c:pt idx="3">
                  <c:v>0</c:v>
                </c:pt>
                <c:pt idx="4">
                  <c:v>0</c:v>
                </c:pt>
                <c:pt idx="5">
                  <c:v>0</c:v>
                </c:pt>
              </c:numCache>
            </c:numRef>
          </c:xVal>
          <c:yVal>
            <c:numRef>
              <c:f>'Keddaris 1993'!$V$12:$V$17</c:f>
              <c:numCache>
                <c:ptCount val="6"/>
                <c:pt idx="0">
                  <c:v>0</c:v>
                </c:pt>
                <c:pt idx="1">
                  <c:v>0</c:v>
                </c:pt>
                <c:pt idx="2">
                  <c:v>0</c:v>
                </c:pt>
                <c:pt idx="3">
                  <c:v>0</c:v>
                </c:pt>
                <c:pt idx="4">
                  <c:v>0</c:v>
                </c:pt>
                <c:pt idx="5">
                  <c:v>0</c:v>
                </c:pt>
              </c:numCache>
            </c:numRef>
          </c:yVal>
          <c:smooth val="0"/>
        </c:ser>
        <c:axId val="57547523"/>
        <c:axId val="48165660"/>
      </c:scatterChart>
      <c:valAx>
        <c:axId val="57547523"/>
        <c:scaling>
          <c:orientation val="minMax"/>
        </c:scaling>
        <c:axPos val="b"/>
        <c:title>
          <c:tx>
            <c:rich>
              <a:bodyPr vert="horz" rot="0" anchor="ctr"/>
              <a:lstStyle/>
              <a:p>
                <a:pPr algn="ctr">
                  <a:defRPr/>
                </a:pPr>
                <a:r>
                  <a:rPr lang="en-US" cap="none" sz="1000"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48165660"/>
        <c:crosses val="autoZero"/>
        <c:crossBetween val="midCat"/>
        <c:dispUnits/>
      </c:valAx>
      <c:valAx>
        <c:axId val="48165660"/>
        <c:scaling>
          <c:orientation val="minMax"/>
        </c:scaling>
        <c:axPos val="l"/>
        <c:majorGridlines/>
        <c:delete val="0"/>
        <c:numFmt formatCode="General" sourceLinked="1"/>
        <c:majorTickMark val="out"/>
        <c:minorTickMark val="none"/>
        <c:tickLblPos val="nextTo"/>
        <c:crossAx val="57547523"/>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normal</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numFmt formatCode="General"/>
            </c:trendlineLbl>
          </c:trendline>
          <c:xVal>
            <c:numRef>
              <c:f>'NGUI 2001'!$P$17:$P$21</c:f>
              <c:numCache>
                <c:ptCount val="5"/>
                <c:pt idx="0">
                  <c:v>0</c:v>
                </c:pt>
                <c:pt idx="1">
                  <c:v>0</c:v>
                </c:pt>
                <c:pt idx="2">
                  <c:v>0</c:v>
                </c:pt>
                <c:pt idx="3">
                  <c:v>0</c:v>
                </c:pt>
                <c:pt idx="4">
                  <c:v>0</c:v>
                </c:pt>
              </c:numCache>
            </c:numRef>
          </c:xVal>
          <c:yVal>
            <c:numRef>
              <c:f>'NGUI 2001'!$Q$17:$Q$21</c:f>
              <c:numCache>
                <c:ptCount val="5"/>
                <c:pt idx="0">
                  <c:v>0</c:v>
                </c:pt>
                <c:pt idx="1">
                  <c:v>0</c:v>
                </c:pt>
                <c:pt idx="2">
                  <c:v>0</c:v>
                </c:pt>
                <c:pt idx="3">
                  <c:v>0</c:v>
                </c:pt>
                <c:pt idx="4">
                  <c:v>0</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trendline>
            <c:trendlineType val="linear"/>
            <c:dispEq val="1"/>
            <c:dispRSqr val="1"/>
            <c:trendlineLbl>
              <c:numFmt formatCode="General"/>
            </c:trendlineLbl>
          </c:trendline>
          <c:xVal>
            <c:numRef>
              <c:f>'NGUI 2001'!$P$17:$P$21</c:f>
              <c:numCache>
                <c:ptCount val="5"/>
                <c:pt idx="0">
                  <c:v>0</c:v>
                </c:pt>
                <c:pt idx="1">
                  <c:v>0</c:v>
                </c:pt>
                <c:pt idx="2">
                  <c:v>0</c:v>
                </c:pt>
                <c:pt idx="3">
                  <c:v>0</c:v>
                </c:pt>
                <c:pt idx="4">
                  <c:v>0</c:v>
                </c:pt>
              </c:numCache>
            </c:numRef>
          </c:xVal>
          <c:yVal>
            <c:numRef>
              <c:f>'NGUI 2001'!$R$17:$R$21</c:f>
              <c:numCache>
                <c:ptCount val="5"/>
                <c:pt idx="0">
                  <c:v>0</c:v>
                </c:pt>
                <c:pt idx="1">
                  <c:v>0</c:v>
                </c:pt>
                <c:pt idx="2">
                  <c:v>0</c:v>
                </c:pt>
                <c:pt idx="3">
                  <c:v>0</c:v>
                </c:pt>
                <c:pt idx="4">
                  <c:v>0</c:v>
                </c:pt>
              </c:numCache>
            </c:numRef>
          </c:yVal>
          <c:smooth val="0"/>
        </c:ser>
        <c:axId val="30837757"/>
        <c:axId val="9104358"/>
      </c:scatterChart>
      <c:valAx>
        <c:axId val="30837757"/>
        <c:scaling>
          <c:orientation val="minMax"/>
        </c:scaling>
        <c:axPos val="b"/>
        <c:title>
          <c:tx>
            <c:rich>
              <a:bodyPr vert="horz" rot="0" anchor="ctr"/>
              <a:lstStyle/>
              <a:p>
                <a:pPr algn="ctr" rtl="1">
                  <a:defRPr/>
                </a:pPr>
                <a:r>
                  <a:rPr lang="en-US" cap="none" sz="1000"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9104358"/>
        <c:crosses val="autoZero"/>
        <c:crossBetween val="midCat"/>
        <c:dispUnits/>
      </c:valAx>
      <c:valAx>
        <c:axId val="9104358"/>
        <c:scaling>
          <c:orientation val="minMax"/>
        </c:scaling>
        <c:axPos val="l"/>
        <c:title>
          <c:tx>
            <c:rich>
              <a:bodyPr vert="horz" rot="-5400000" anchor="ctr"/>
              <a:lstStyle/>
              <a:p>
                <a:pPr algn="ctr" rtl="1">
                  <a:defRPr/>
                </a:pPr>
                <a:r>
                  <a:rPr lang="en-US" cap="none" sz="1000" b="1" i="0" u="none" baseline="0">
                    <a:latin typeface="Arial"/>
                    <a:ea typeface="Arial"/>
                    <a:cs typeface="Arial"/>
                  </a:rPr>
                  <a:t>metabolite formation</a:t>
                </a:r>
              </a:p>
            </c:rich>
          </c:tx>
          <c:layout/>
          <c:overlay val="0"/>
          <c:spPr>
            <a:noFill/>
            <a:ln>
              <a:noFill/>
            </a:ln>
          </c:spPr>
        </c:title>
        <c:majorGridlines/>
        <c:delete val="0"/>
        <c:numFmt formatCode="General" sourceLinked="1"/>
        <c:majorTickMark val="out"/>
        <c:minorTickMark val="none"/>
        <c:tickLblPos val="nextTo"/>
        <c:crossAx val="30837757"/>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lognormal</a:t>
            </a:r>
          </a:p>
        </c:rich>
      </c:tx>
      <c:layout/>
      <c:spPr>
        <a:noFill/>
        <a:ln>
          <a:noFill/>
        </a:ln>
      </c:spPr>
    </c:title>
    <c:plotArea>
      <c:layout>
        <c:manualLayout>
          <c:xMode val="edge"/>
          <c:yMode val="edge"/>
          <c:x val="0.03025"/>
          <c:y val="0.116"/>
          <c:w val="0.6835"/>
          <c:h val="0.718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'NGUI 2001'!$P$17:$P$21</c:f>
              <c:numCache>
                <c:ptCount val="5"/>
                <c:pt idx="0">
                  <c:v>0</c:v>
                </c:pt>
                <c:pt idx="1">
                  <c:v>0</c:v>
                </c:pt>
                <c:pt idx="2">
                  <c:v>0</c:v>
                </c:pt>
                <c:pt idx="3">
                  <c:v>0</c:v>
                </c:pt>
                <c:pt idx="4">
                  <c:v>0</c:v>
                </c:pt>
              </c:numCache>
            </c:numRef>
          </c:xVal>
          <c:yVal>
            <c:numRef>
              <c:f>'NGUI 2001'!$S$17:$S$21</c:f>
              <c:numCache>
                <c:ptCount val="5"/>
                <c:pt idx="0">
                  <c:v>0</c:v>
                </c:pt>
                <c:pt idx="1">
                  <c:v>0</c:v>
                </c:pt>
                <c:pt idx="2">
                  <c:v>0</c:v>
                </c:pt>
                <c:pt idx="3">
                  <c:v>0</c:v>
                </c:pt>
                <c:pt idx="4">
                  <c:v>0</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trendline>
            <c:trendlineType val="linear"/>
            <c:dispEq val="1"/>
            <c:dispRSqr val="1"/>
            <c:trendlineLbl>
              <c:layout>
                <c:manualLayout>
                  <c:x val="0"/>
                  <c:y val="0"/>
                </c:manualLayout>
              </c:layout>
              <c:numFmt formatCode="General"/>
            </c:trendlineLbl>
          </c:trendline>
          <c:xVal>
            <c:numRef>
              <c:f>'NGUI 2001'!$P$17:$P$21</c:f>
              <c:numCache>
                <c:ptCount val="5"/>
                <c:pt idx="0">
                  <c:v>0</c:v>
                </c:pt>
                <c:pt idx="1">
                  <c:v>0</c:v>
                </c:pt>
                <c:pt idx="2">
                  <c:v>0</c:v>
                </c:pt>
                <c:pt idx="3">
                  <c:v>0</c:v>
                </c:pt>
                <c:pt idx="4">
                  <c:v>0</c:v>
                </c:pt>
              </c:numCache>
            </c:numRef>
          </c:xVal>
          <c:yVal>
            <c:numRef>
              <c:f>'NGUI 2001'!$T$17:$T$21</c:f>
              <c:numCache>
                <c:ptCount val="5"/>
                <c:pt idx="0">
                  <c:v>0</c:v>
                </c:pt>
                <c:pt idx="1">
                  <c:v>0</c:v>
                </c:pt>
                <c:pt idx="2">
                  <c:v>0</c:v>
                </c:pt>
                <c:pt idx="3">
                  <c:v>0</c:v>
                </c:pt>
                <c:pt idx="4">
                  <c:v>0</c:v>
                </c:pt>
              </c:numCache>
            </c:numRef>
          </c:yVal>
          <c:smooth val="0"/>
        </c:ser>
        <c:axId val="14830359"/>
        <c:axId val="66364368"/>
      </c:scatterChart>
      <c:valAx>
        <c:axId val="14830359"/>
        <c:scaling>
          <c:orientation val="minMax"/>
        </c:scaling>
        <c:axPos val="b"/>
        <c:title>
          <c:tx>
            <c:rich>
              <a:bodyPr vert="horz" rot="0" anchor="ctr"/>
              <a:lstStyle/>
              <a:p>
                <a:pPr algn="ctr">
                  <a:defRPr/>
                </a:pPr>
                <a:r>
                  <a:rPr lang="en-US" cap="none" sz="1000"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66364368"/>
        <c:crosses val="autoZero"/>
        <c:crossBetween val="midCat"/>
        <c:dispUnits/>
      </c:valAx>
      <c:valAx>
        <c:axId val="66364368"/>
        <c:scaling>
          <c:orientation val="minMax"/>
        </c:scaling>
        <c:axPos val="l"/>
        <c:title>
          <c:tx>
            <c:rich>
              <a:bodyPr vert="horz" rot="-5400000" anchor="ctr"/>
              <a:lstStyle/>
              <a:p>
                <a:pPr algn="ctr">
                  <a:defRPr/>
                </a:pPr>
                <a:r>
                  <a:rPr lang="en-US" cap="none" sz="1000" b="1" i="0" u="none" baseline="0">
                    <a:latin typeface="Arial"/>
                    <a:ea typeface="Arial"/>
                    <a:cs typeface="Arial"/>
                  </a:rPr>
                  <a:t>log met form</a:t>
                </a:r>
              </a:p>
            </c:rich>
          </c:tx>
          <c:layout/>
          <c:overlay val="0"/>
          <c:spPr>
            <a:noFill/>
            <a:ln>
              <a:noFill/>
            </a:ln>
          </c:spPr>
        </c:title>
        <c:majorGridlines/>
        <c:delete val="0"/>
        <c:numFmt formatCode="General" sourceLinked="1"/>
        <c:majorTickMark val="out"/>
        <c:minorTickMark val="none"/>
        <c:tickLblPos val="nextTo"/>
        <c:crossAx val="14830359"/>
        <c:crosses val="autoZero"/>
        <c:crossBetween val="midCat"/>
        <c:dispUnits/>
      </c:valAx>
      <c:spPr>
        <a:solidFill>
          <a:srgbClr val="C0C0C0"/>
        </a:solidFill>
        <a:ln w="12700">
          <a:solidFill>
            <a:srgbClr val="808080"/>
          </a:solidFill>
        </a:ln>
      </c:spPr>
    </c:plotArea>
    <c:legend>
      <c:legendPos val="r"/>
      <c:layout>
        <c:manualLayout>
          <c:xMode val="edge"/>
          <c:yMode val="edge"/>
          <c:x val="0.7775"/>
          <c:y val="0.351"/>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'lipscomb compiled'!$AY$19:$AY$33</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xVal>
          <c:yVal>
            <c:numRef>
              <c:f>'lipscomb compiled'!$AZ$19:$AZ$33</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trendline>
            <c:trendlineType val="linear"/>
            <c:dispEq val="1"/>
            <c:dispRSqr val="1"/>
            <c:trendlineLbl>
              <c:layout>
                <c:manualLayout>
                  <c:x val="0"/>
                  <c:y val="0"/>
                </c:manualLayout>
              </c:layout>
              <c:numFmt formatCode="General"/>
            </c:trendlineLbl>
          </c:trendline>
          <c:xVal>
            <c:numRef>
              <c:f>'lipscomb compiled'!$AY$19:$AY$33</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xVal>
          <c:yVal>
            <c:numRef>
              <c:f>'lipscomb compiled'!$BA$19:$BA$33</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mooth val="0"/>
        </c:ser>
        <c:axId val="8194909"/>
        <c:axId val="6645318"/>
      </c:scatterChart>
      <c:valAx>
        <c:axId val="8194909"/>
        <c:scaling>
          <c:orientation val="minMax"/>
        </c:scaling>
        <c:axPos val="b"/>
        <c:delete val="0"/>
        <c:numFmt formatCode="General" sourceLinked="1"/>
        <c:majorTickMark val="out"/>
        <c:minorTickMark val="none"/>
        <c:tickLblPos val="nextTo"/>
        <c:crossAx val="6645318"/>
        <c:crosses val="autoZero"/>
        <c:crossBetween val="midCat"/>
        <c:dispUnits/>
      </c:valAx>
      <c:valAx>
        <c:axId val="6645318"/>
        <c:scaling>
          <c:orientation val="minMax"/>
        </c:scaling>
        <c:axPos val="l"/>
        <c:majorGridlines/>
        <c:delete val="0"/>
        <c:numFmt formatCode="General" sourceLinked="1"/>
        <c:majorTickMark val="out"/>
        <c:minorTickMark val="none"/>
        <c:tickLblPos val="nextTo"/>
        <c:crossAx val="8194909"/>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log rate</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'jensen 1999'!$P$16:$P$29</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xVal>
          <c:yVal>
            <c:numRef>
              <c:f>'jensen 1999'!$R$16:$R$29</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trendline>
            <c:trendlineType val="linear"/>
            <c:dispEq val="1"/>
            <c:dispRSqr val="1"/>
            <c:trendlineLbl>
              <c:layout>
                <c:manualLayout>
                  <c:x val="0"/>
                  <c:y val="0"/>
                </c:manualLayout>
              </c:layout>
              <c:numFmt formatCode="General"/>
            </c:trendlineLbl>
          </c:trendline>
          <c:xVal>
            <c:numRef>
              <c:f>'jensen 1999'!$P$16:$P$29</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xVal>
          <c:yVal>
            <c:numRef>
              <c:f>'jensen 1999'!$S$16:$S$29</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trendline>
            <c:trendlineType val="linear"/>
            <c:dispEq val="1"/>
            <c:dispRSqr val="1"/>
            <c:trendlineLbl>
              <c:layout>
                <c:manualLayout>
                  <c:x val="0"/>
                  <c:y val="0"/>
                </c:manualLayout>
              </c:layout>
              <c:numFmt formatCode="General"/>
            </c:trendlineLbl>
          </c:trendline>
          <c:xVal>
            <c:numRef>
              <c:f>'jensen 1999'!$P$16:$P$29</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xVal>
          <c:yVal>
            <c:numRef>
              <c:f>'jensen 1999'!$T$16:$T$29</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ser>
        <c:ser>
          <c:idx val="3"/>
          <c:order val="3"/>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trendline>
            <c:trendlineType val="linear"/>
            <c:dispEq val="1"/>
            <c:dispRSqr val="1"/>
            <c:trendlineLbl>
              <c:layout>
                <c:manualLayout>
                  <c:x val="0"/>
                  <c:y val="0"/>
                </c:manualLayout>
              </c:layout>
              <c:numFmt formatCode="General"/>
            </c:trendlineLbl>
          </c:trendline>
          <c:xVal>
            <c:numRef>
              <c:f>'jensen 1999'!$P$16:$P$29</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xVal>
          <c:yVal>
            <c:numRef>
              <c:f>'jensen 1999'!$U$16:$U$29</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ser>
        <c:axId val="60408401"/>
        <c:axId val="6804698"/>
      </c:scatterChart>
      <c:valAx>
        <c:axId val="60408401"/>
        <c:scaling>
          <c:orientation val="minMax"/>
        </c:scaling>
        <c:axPos val="b"/>
        <c:title>
          <c:tx>
            <c:rich>
              <a:bodyPr vert="horz" rot="0" anchor="ctr"/>
              <a:lstStyle/>
              <a:p>
                <a:pPr algn="ctr">
                  <a:defRPr/>
                </a:pPr>
                <a:r>
                  <a:rPr lang="en-US" cap="none" sz="1000"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6804698"/>
        <c:crosses val="autoZero"/>
        <c:crossBetween val="midCat"/>
        <c:dispUnits/>
      </c:valAx>
      <c:valAx>
        <c:axId val="6804698"/>
        <c:scaling>
          <c:orientation val="minMax"/>
        </c:scaling>
        <c:axPos val="l"/>
        <c:title>
          <c:tx>
            <c:rich>
              <a:bodyPr vert="horz" rot="-5400000" anchor="ctr"/>
              <a:lstStyle/>
              <a:p>
                <a:pPr algn="ctr">
                  <a:defRPr/>
                </a:pPr>
                <a:r>
                  <a:rPr lang="en-US" cap="none" sz="1000" b="1" i="0" u="none" baseline="0">
                    <a:latin typeface="Arial"/>
                    <a:ea typeface="Arial"/>
                    <a:cs typeface="Arial"/>
                  </a:rPr>
                  <a:t>log rates</a:t>
                </a:r>
              </a:p>
            </c:rich>
          </c:tx>
          <c:layout/>
          <c:overlay val="0"/>
          <c:spPr>
            <a:noFill/>
            <a:ln>
              <a:noFill/>
            </a:ln>
          </c:spPr>
        </c:title>
        <c:majorGridlines/>
        <c:delete val="0"/>
        <c:numFmt formatCode="General" sourceLinked="1"/>
        <c:majorTickMark val="out"/>
        <c:minorTickMark val="none"/>
        <c:tickLblPos val="nextTo"/>
        <c:crossAx val="60408401"/>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'jensen 1999'!$P$16:$P$29</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xVal>
          <c:yVal>
            <c:numRef>
              <c:f>'jensen 1999'!$W$16:$W$29</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trendline>
            <c:trendlineType val="linear"/>
            <c:dispEq val="1"/>
            <c:dispRSqr val="1"/>
            <c:trendlineLbl>
              <c:numFmt formatCode="General"/>
            </c:trendlineLbl>
          </c:trendline>
          <c:xVal>
            <c:numRef>
              <c:f>'jensen 1999'!$P$16:$P$29</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xVal>
          <c:yVal>
            <c:numRef>
              <c:f>'jensen 1999'!$X$16:$X$29</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trendline>
            <c:trendlineType val="linear"/>
            <c:dispEq val="1"/>
            <c:dispRSqr val="1"/>
            <c:trendlineLbl>
              <c:numFmt formatCode="General"/>
            </c:trendlineLbl>
          </c:trendline>
          <c:xVal>
            <c:numRef>
              <c:f>'jensen 1999'!$P$16:$P$29</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xVal>
          <c:yVal>
            <c:numRef>
              <c:f>'jensen 1999'!$Y$16:$Y$29</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ser>
        <c:ser>
          <c:idx val="3"/>
          <c:order val="3"/>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trendline>
            <c:trendlineType val="linear"/>
            <c:dispEq val="1"/>
            <c:dispRSqr val="1"/>
            <c:trendlineLbl>
              <c:layout>
                <c:manualLayout>
                  <c:x val="0"/>
                  <c:y val="0"/>
                </c:manualLayout>
              </c:layout>
              <c:numFmt formatCode="General"/>
            </c:trendlineLbl>
          </c:trendline>
          <c:xVal>
            <c:numRef>
              <c:f>'jensen 1999'!$P$16:$P$29</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xVal>
          <c:yVal>
            <c:numRef>
              <c:f>'jensen 1999'!$Z$16:$Z$29</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ser>
        <c:axId val="61242283"/>
        <c:axId val="14309636"/>
      </c:scatterChart>
      <c:valAx>
        <c:axId val="61242283"/>
        <c:scaling>
          <c:orientation val="minMax"/>
        </c:scaling>
        <c:axPos val="b"/>
        <c:delete val="0"/>
        <c:numFmt formatCode="General" sourceLinked="1"/>
        <c:majorTickMark val="out"/>
        <c:minorTickMark val="none"/>
        <c:tickLblPos val="nextTo"/>
        <c:crossAx val="14309636"/>
        <c:crosses val="autoZero"/>
        <c:crossBetween val="midCat"/>
        <c:dispUnits/>
      </c:valAx>
      <c:valAx>
        <c:axId val="14309636"/>
        <c:scaling>
          <c:orientation val="minMax"/>
        </c:scaling>
        <c:axPos val="l"/>
        <c:majorGridlines/>
        <c:delete val="0"/>
        <c:numFmt formatCode="General" sourceLinked="1"/>
        <c:majorTickMark val="out"/>
        <c:minorTickMark val="none"/>
        <c:tickLblPos val="nextTo"/>
        <c:crossAx val="61242283"/>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numFmt formatCode="General" sourceLinked="1"/>
            </c:trendlineLbl>
          </c:trendline>
          <c:xVal>
            <c:numRef>
              <c:f>'roberts 1991'!$AI$20:$AI$25</c:f>
              <c:numCache>
                <c:ptCount val="6"/>
                <c:pt idx="0">
                  <c:v>0</c:v>
                </c:pt>
                <c:pt idx="1">
                  <c:v>0</c:v>
                </c:pt>
                <c:pt idx="2">
                  <c:v>0</c:v>
                </c:pt>
                <c:pt idx="3">
                  <c:v>0</c:v>
                </c:pt>
                <c:pt idx="4">
                  <c:v>0</c:v>
                </c:pt>
                <c:pt idx="5">
                  <c:v>0</c:v>
                </c:pt>
              </c:numCache>
            </c:numRef>
          </c:xVal>
          <c:yVal>
            <c:numRef>
              <c:f>'roberts 1991'!$AK$20:$AK$25</c:f>
              <c:numCache>
                <c:ptCount val="6"/>
                <c:pt idx="0">
                  <c:v>0</c:v>
                </c:pt>
                <c:pt idx="1">
                  <c:v>0</c:v>
                </c:pt>
                <c:pt idx="2">
                  <c:v>0</c:v>
                </c:pt>
                <c:pt idx="3">
                  <c:v>0</c:v>
                </c:pt>
                <c:pt idx="4">
                  <c:v>0</c:v>
                </c:pt>
                <c:pt idx="5">
                  <c:v>0</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trendline>
            <c:trendlineType val="linear"/>
            <c:dispEq val="1"/>
            <c:dispRSqr val="1"/>
            <c:trendlineLbl>
              <c:numFmt formatCode="General"/>
            </c:trendlineLbl>
          </c:trendline>
          <c:xVal>
            <c:numRef>
              <c:f>'roberts 1991'!$AI$20:$AI$25</c:f>
              <c:numCache>
                <c:ptCount val="6"/>
                <c:pt idx="0">
                  <c:v>0</c:v>
                </c:pt>
                <c:pt idx="1">
                  <c:v>0</c:v>
                </c:pt>
                <c:pt idx="2">
                  <c:v>0</c:v>
                </c:pt>
                <c:pt idx="3">
                  <c:v>0</c:v>
                </c:pt>
                <c:pt idx="4">
                  <c:v>0</c:v>
                </c:pt>
                <c:pt idx="5">
                  <c:v>0</c:v>
                </c:pt>
              </c:numCache>
            </c:numRef>
          </c:xVal>
          <c:yVal>
            <c:numRef>
              <c:f>'roberts 1991'!$AM$20:$AM$25</c:f>
              <c:numCache>
                <c:ptCount val="6"/>
                <c:pt idx="0">
                  <c:v>0</c:v>
                </c:pt>
                <c:pt idx="1">
                  <c:v>0</c:v>
                </c:pt>
                <c:pt idx="2">
                  <c:v>0</c:v>
                </c:pt>
                <c:pt idx="3">
                  <c:v>0</c:v>
                </c:pt>
                <c:pt idx="4">
                  <c:v>0</c:v>
                </c:pt>
                <c:pt idx="5">
                  <c:v>0</c:v>
                </c:pt>
              </c:numCache>
            </c:numRef>
          </c:y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trendline>
            <c:trendlineType val="linear"/>
            <c:dispEq val="1"/>
            <c:dispRSqr val="1"/>
            <c:trendlineLbl>
              <c:numFmt formatCode="General"/>
            </c:trendlineLbl>
          </c:trendline>
          <c:xVal>
            <c:numRef>
              <c:f>'roberts 1991'!$AI$20:$AI$25</c:f>
              <c:numCache>
                <c:ptCount val="6"/>
                <c:pt idx="0">
                  <c:v>0</c:v>
                </c:pt>
                <c:pt idx="1">
                  <c:v>0</c:v>
                </c:pt>
                <c:pt idx="2">
                  <c:v>0</c:v>
                </c:pt>
                <c:pt idx="3">
                  <c:v>0</c:v>
                </c:pt>
                <c:pt idx="4">
                  <c:v>0</c:v>
                </c:pt>
                <c:pt idx="5">
                  <c:v>0</c:v>
                </c:pt>
              </c:numCache>
            </c:numRef>
          </c:xVal>
          <c:yVal>
            <c:numRef>
              <c:f>'roberts 1991'!$AN$20:$AN$25</c:f>
              <c:numCache>
                <c:ptCount val="6"/>
                <c:pt idx="0">
                  <c:v>0</c:v>
                </c:pt>
                <c:pt idx="1">
                  <c:v>0</c:v>
                </c:pt>
                <c:pt idx="2">
                  <c:v>0</c:v>
                </c:pt>
                <c:pt idx="3">
                  <c:v>0</c:v>
                </c:pt>
                <c:pt idx="4">
                  <c:v>0</c:v>
                </c:pt>
                <c:pt idx="5">
                  <c:v>0</c:v>
                </c:pt>
              </c:numCache>
            </c:numRef>
          </c:yVal>
          <c:smooth val="0"/>
        </c:ser>
        <c:axId val="61677861"/>
        <c:axId val="18229838"/>
      </c:scatterChart>
      <c:valAx>
        <c:axId val="61677861"/>
        <c:scaling>
          <c:orientation val="minMax"/>
        </c:scaling>
        <c:axPos val="b"/>
        <c:delete val="0"/>
        <c:numFmt formatCode="General" sourceLinked="1"/>
        <c:majorTickMark val="out"/>
        <c:minorTickMark val="none"/>
        <c:tickLblPos val="nextTo"/>
        <c:crossAx val="18229838"/>
        <c:crosses val="autoZero"/>
        <c:crossBetween val="midCat"/>
        <c:dispUnits/>
      </c:valAx>
      <c:valAx>
        <c:axId val="18229838"/>
        <c:scaling>
          <c:orientation val="minMax"/>
        </c:scaling>
        <c:axPos val="l"/>
        <c:majorGridlines/>
        <c:delete val="0"/>
        <c:numFmt formatCode="General" sourceLinked="1"/>
        <c:majorTickMark val="out"/>
        <c:minorTickMark val="none"/>
        <c:tickLblPos val="nextTo"/>
        <c:crossAx val="61677861"/>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cocaine</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'roberts 1991'!$AI$20:$AI$25</c:f>
              <c:numCache>
                <c:ptCount val="6"/>
                <c:pt idx="0">
                  <c:v>0</c:v>
                </c:pt>
                <c:pt idx="1">
                  <c:v>0</c:v>
                </c:pt>
                <c:pt idx="2">
                  <c:v>0</c:v>
                </c:pt>
                <c:pt idx="3">
                  <c:v>0</c:v>
                </c:pt>
                <c:pt idx="4">
                  <c:v>0</c:v>
                </c:pt>
                <c:pt idx="5">
                  <c:v>0</c:v>
                </c:pt>
              </c:numCache>
            </c:numRef>
          </c:xVal>
          <c:yVal>
            <c:numRef>
              <c:f>'roberts 1991'!$AZ$20:$AZ$25</c:f>
              <c:numCache>
                <c:ptCount val="6"/>
                <c:pt idx="0">
                  <c:v>0</c:v>
                </c:pt>
                <c:pt idx="1">
                  <c:v>0</c:v>
                </c:pt>
                <c:pt idx="2">
                  <c:v>0</c:v>
                </c:pt>
                <c:pt idx="3">
                  <c:v>0</c:v>
                </c:pt>
                <c:pt idx="4">
                  <c:v>0</c:v>
                </c:pt>
                <c:pt idx="5">
                  <c:v>0</c:v>
                </c:pt>
              </c:numCache>
            </c:numRef>
          </c:yVal>
          <c:smooth val="0"/>
        </c:ser>
        <c:axId val="29850815"/>
        <c:axId val="221880"/>
      </c:scatterChart>
      <c:valAx>
        <c:axId val="29850815"/>
        <c:scaling>
          <c:orientation val="minMax"/>
        </c:scaling>
        <c:axPos val="b"/>
        <c:title>
          <c:tx>
            <c:rich>
              <a:bodyPr vert="horz" rot="0" anchor="ctr"/>
              <a:lstStyle/>
              <a:p>
                <a:pPr algn="ctr">
                  <a:defRPr/>
                </a:pPr>
                <a:r>
                  <a:rPr lang="en-US" cap="none" sz="1000"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221880"/>
        <c:crosses val="autoZero"/>
        <c:crossBetween val="midCat"/>
        <c:dispUnits/>
      </c:valAx>
      <c:valAx>
        <c:axId val="221880"/>
        <c:scaling>
          <c:orientation val="minMax"/>
        </c:scaling>
        <c:axPos val="l"/>
        <c:title>
          <c:tx>
            <c:rich>
              <a:bodyPr vert="horz" rot="-5400000" anchor="ctr"/>
              <a:lstStyle/>
              <a:p>
                <a:pPr algn="ctr">
                  <a:defRPr/>
                </a:pPr>
                <a:r>
                  <a:rPr lang="en-US" cap="none" sz="1000" b="1" i="0" u="none" baseline="0">
                    <a:latin typeface="Arial"/>
                    <a:ea typeface="Arial"/>
                    <a:cs typeface="Arial"/>
                  </a:rPr>
                  <a:t>log Vmax/ Km</a:t>
                </a:r>
              </a:p>
            </c:rich>
          </c:tx>
          <c:layout/>
          <c:overlay val="0"/>
          <c:spPr>
            <a:noFill/>
            <a:ln>
              <a:noFill/>
            </a:ln>
          </c:spPr>
        </c:title>
        <c:majorGridlines/>
        <c:delete val="0"/>
        <c:numFmt formatCode="General" sourceLinked="1"/>
        <c:majorTickMark val="out"/>
        <c:minorTickMark val="none"/>
        <c:tickLblPos val="nextTo"/>
        <c:crossAx val="29850815"/>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cocaine</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'roberts 1991'!$AI$20:$AI$25</c:f>
              <c:numCache>
                <c:ptCount val="6"/>
                <c:pt idx="0">
                  <c:v>0</c:v>
                </c:pt>
                <c:pt idx="1">
                  <c:v>0</c:v>
                </c:pt>
                <c:pt idx="2">
                  <c:v>0</c:v>
                </c:pt>
                <c:pt idx="3">
                  <c:v>0</c:v>
                </c:pt>
                <c:pt idx="4">
                  <c:v>0</c:v>
                </c:pt>
                <c:pt idx="5">
                  <c:v>0</c:v>
                </c:pt>
              </c:numCache>
            </c:numRef>
          </c:xVal>
          <c:yVal>
            <c:numRef>
              <c:f>'roberts 1991'!$AP$20:$AP$25</c:f>
              <c:numCache>
                <c:ptCount val="6"/>
                <c:pt idx="0">
                  <c:v>0</c:v>
                </c:pt>
                <c:pt idx="1">
                  <c:v>0</c:v>
                </c:pt>
                <c:pt idx="2">
                  <c:v>0</c:v>
                </c:pt>
                <c:pt idx="3">
                  <c:v>0</c:v>
                </c:pt>
                <c:pt idx="4">
                  <c:v>0</c:v>
                </c:pt>
                <c:pt idx="5">
                  <c:v>0</c:v>
                </c:pt>
              </c:numCache>
            </c:numRef>
          </c:yVal>
          <c:smooth val="0"/>
        </c:ser>
        <c:axId val="1996921"/>
        <c:axId val="17972290"/>
      </c:scatterChart>
      <c:valAx>
        <c:axId val="1996921"/>
        <c:scaling>
          <c:orientation val="minMax"/>
        </c:scaling>
        <c:axPos val="b"/>
        <c:title>
          <c:tx>
            <c:rich>
              <a:bodyPr vert="horz" rot="0" anchor="ctr"/>
              <a:lstStyle/>
              <a:p>
                <a:pPr algn="ctr">
                  <a:defRPr/>
                </a:pPr>
                <a:r>
                  <a:rPr lang="en-US" cap="none" sz="1000" b="1" i="0" u="none" baseline="0">
                    <a:latin typeface="Arial"/>
                    <a:ea typeface="Arial"/>
                    <a:cs typeface="Arial"/>
                  </a:rPr>
                  <a:t>z score </a:t>
                </a:r>
              </a:p>
            </c:rich>
          </c:tx>
          <c:layout/>
          <c:overlay val="0"/>
          <c:spPr>
            <a:noFill/>
            <a:ln>
              <a:noFill/>
            </a:ln>
          </c:spPr>
        </c:title>
        <c:delete val="0"/>
        <c:numFmt formatCode="General" sourceLinked="1"/>
        <c:majorTickMark val="out"/>
        <c:minorTickMark val="none"/>
        <c:tickLblPos val="nextTo"/>
        <c:crossAx val="17972290"/>
        <c:crosses val="autoZero"/>
        <c:crossBetween val="midCat"/>
        <c:dispUnits/>
      </c:valAx>
      <c:valAx>
        <c:axId val="17972290"/>
        <c:scaling>
          <c:orientation val="minMax"/>
        </c:scaling>
        <c:axPos val="l"/>
        <c:title>
          <c:tx>
            <c:rich>
              <a:bodyPr vert="horz" rot="-5400000" anchor="ctr"/>
              <a:lstStyle/>
              <a:p>
                <a:pPr algn="ctr">
                  <a:defRPr/>
                </a:pPr>
                <a:r>
                  <a:rPr lang="en-US" cap="none" sz="1000" b="1" i="0" u="none" baseline="0">
                    <a:latin typeface="Arial"/>
                    <a:ea typeface="Arial"/>
                    <a:cs typeface="Arial"/>
                  </a:rPr>
                  <a:t>vmax/ kM</a:t>
                </a:r>
              </a:p>
            </c:rich>
          </c:tx>
          <c:layout/>
          <c:overlay val="0"/>
          <c:spPr>
            <a:noFill/>
            <a:ln>
              <a:noFill/>
            </a:ln>
          </c:spPr>
        </c:title>
        <c:majorGridlines/>
        <c:delete val="0"/>
        <c:numFmt formatCode="General" sourceLinked="1"/>
        <c:majorTickMark val="out"/>
        <c:minorTickMark val="none"/>
        <c:tickLblPos val="nextTo"/>
        <c:crossAx val="1996921"/>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cocaine</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'roberts 1991'!$AI$20:$AI$25</c:f>
              <c:numCache>
                <c:ptCount val="6"/>
                <c:pt idx="0">
                  <c:v>0</c:v>
                </c:pt>
                <c:pt idx="1">
                  <c:v>0</c:v>
                </c:pt>
                <c:pt idx="2">
                  <c:v>0</c:v>
                </c:pt>
                <c:pt idx="3">
                  <c:v>0</c:v>
                </c:pt>
                <c:pt idx="4">
                  <c:v>0</c:v>
                </c:pt>
                <c:pt idx="5">
                  <c:v>0</c:v>
                </c:pt>
              </c:numCache>
            </c:numRef>
          </c:xVal>
          <c:yVal>
            <c:numRef>
              <c:f>'roberts 1991'!$AW$20:$AW$25</c:f>
              <c:numCache>
                <c:ptCount val="6"/>
                <c:pt idx="0">
                  <c:v>0</c:v>
                </c:pt>
                <c:pt idx="1">
                  <c:v>0</c:v>
                </c:pt>
                <c:pt idx="2">
                  <c:v>0</c:v>
                </c:pt>
                <c:pt idx="3">
                  <c:v>0</c:v>
                </c:pt>
                <c:pt idx="4">
                  <c:v>0</c:v>
                </c:pt>
                <c:pt idx="5">
                  <c:v>0</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trendline>
            <c:trendlineType val="linear"/>
            <c:dispEq val="1"/>
            <c:dispRSqr val="1"/>
            <c:trendlineLbl>
              <c:layout>
                <c:manualLayout>
                  <c:x val="0"/>
                  <c:y val="0"/>
                </c:manualLayout>
              </c:layout>
              <c:numFmt formatCode="General"/>
            </c:trendlineLbl>
          </c:trendline>
          <c:xVal>
            <c:numRef>
              <c:f>'roberts 1991'!$AI$20:$AI$25</c:f>
              <c:numCache>
                <c:ptCount val="6"/>
                <c:pt idx="0">
                  <c:v>0</c:v>
                </c:pt>
                <c:pt idx="1">
                  <c:v>0</c:v>
                </c:pt>
                <c:pt idx="2">
                  <c:v>0</c:v>
                </c:pt>
                <c:pt idx="3">
                  <c:v>0</c:v>
                </c:pt>
                <c:pt idx="4">
                  <c:v>0</c:v>
                </c:pt>
                <c:pt idx="5">
                  <c:v>0</c:v>
                </c:pt>
              </c:numCache>
            </c:numRef>
          </c:xVal>
          <c:yVal>
            <c:numRef>
              <c:f>'roberts 1991'!$AX$20:$AX$25</c:f>
              <c:numCache>
                <c:ptCount val="6"/>
                <c:pt idx="0">
                  <c:v>0</c:v>
                </c:pt>
                <c:pt idx="1">
                  <c:v>0</c:v>
                </c:pt>
                <c:pt idx="2">
                  <c:v>0</c:v>
                </c:pt>
                <c:pt idx="3">
                  <c:v>0</c:v>
                </c:pt>
                <c:pt idx="4">
                  <c:v>0</c:v>
                </c:pt>
                <c:pt idx="5">
                  <c:v>0</c:v>
                </c:pt>
              </c:numCache>
            </c:numRef>
          </c:yVal>
          <c:smooth val="0"/>
        </c:ser>
        <c:axId val="27532883"/>
        <c:axId val="46469356"/>
      </c:scatterChart>
      <c:valAx>
        <c:axId val="27532883"/>
        <c:scaling>
          <c:orientation val="minMax"/>
        </c:scaling>
        <c:axPos val="b"/>
        <c:title>
          <c:tx>
            <c:rich>
              <a:bodyPr vert="horz" rot="0" anchor="ctr"/>
              <a:lstStyle/>
              <a:p>
                <a:pPr algn="ctr">
                  <a:defRPr/>
                </a:pPr>
                <a:r>
                  <a:rPr lang="en-US" cap="none" sz="1000" b="1" i="0" u="none" baseline="0">
                    <a:latin typeface="Arial"/>
                    <a:ea typeface="Arial"/>
                    <a:cs typeface="Arial"/>
                  </a:rPr>
                  <a:t>z scove</a:t>
                </a:r>
              </a:p>
            </c:rich>
          </c:tx>
          <c:layout/>
          <c:overlay val="0"/>
          <c:spPr>
            <a:noFill/>
            <a:ln>
              <a:noFill/>
            </a:ln>
          </c:spPr>
        </c:title>
        <c:delete val="0"/>
        <c:numFmt formatCode="General" sourceLinked="1"/>
        <c:majorTickMark val="out"/>
        <c:minorTickMark val="none"/>
        <c:tickLblPos val="nextTo"/>
        <c:crossAx val="46469356"/>
        <c:crosses val="autoZero"/>
        <c:crossBetween val="midCat"/>
        <c:dispUnits/>
      </c:valAx>
      <c:valAx>
        <c:axId val="46469356"/>
        <c:scaling>
          <c:orientation val="minMax"/>
        </c:scaling>
        <c:axPos val="l"/>
        <c:title>
          <c:tx>
            <c:rich>
              <a:bodyPr vert="horz" rot="-5400000" anchor="ctr"/>
              <a:lstStyle/>
              <a:p>
                <a:pPr algn="ctr">
                  <a:defRPr/>
                </a:pPr>
                <a:r>
                  <a:rPr lang="en-US" cap="none" sz="1000" b="1" i="0" u="none" baseline="0">
                    <a:latin typeface="Arial"/>
                    <a:ea typeface="Arial"/>
                    <a:cs typeface="Arial"/>
                  </a:rPr>
                  <a:t>log</a:t>
                </a:r>
              </a:p>
            </c:rich>
          </c:tx>
          <c:layout/>
          <c:overlay val="0"/>
          <c:spPr>
            <a:noFill/>
            <a:ln>
              <a:noFill/>
            </a:ln>
          </c:spPr>
        </c:title>
        <c:majorGridlines/>
        <c:delete val="0"/>
        <c:numFmt formatCode="General" sourceLinked="1"/>
        <c:majorTickMark val="out"/>
        <c:minorTickMark val="none"/>
        <c:tickLblPos val="nextTo"/>
        <c:crossAx val="27532883"/>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norcain</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numFmt formatCode="General"/>
            </c:trendlineLbl>
          </c:trendline>
          <c:xVal>
            <c:numRef>
              <c:f>'roberts 1991'!$AI$20:$AI$25</c:f>
              <c:numCache>
                <c:ptCount val="6"/>
                <c:pt idx="0">
                  <c:v>0</c:v>
                </c:pt>
                <c:pt idx="1">
                  <c:v>0</c:v>
                </c:pt>
                <c:pt idx="2">
                  <c:v>0</c:v>
                </c:pt>
                <c:pt idx="3">
                  <c:v>0</c:v>
                </c:pt>
                <c:pt idx="4">
                  <c:v>0</c:v>
                </c:pt>
                <c:pt idx="5">
                  <c:v>0</c:v>
                </c:pt>
              </c:numCache>
            </c:numRef>
          </c:xVal>
          <c:yVal>
            <c:numRef>
              <c:f>'roberts 1991'!$AR$20:$AR$25</c:f>
              <c:numCache>
                <c:ptCount val="6"/>
                <c:pt idx="0">
                  <c:v>0</c:v>
                </c:pt>
                <c:pt idx="1">
                  <c:v>0</c:v>
                </c:pt>
                <c:pt idx="2">
                  <c:v>0</c:v>
                </c:pt>
                <c:pt idx="3">
                  <c:v>0</c:v>
                </c:pt>
                <c:pt idx="4">
                  <c:v>0</c:v>
                </c:pt>
                <c:pt idx="5">
                  <c:v>0</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trendline>
            <c:trendlineType val="linear"/>
            <c:dispEq val="1"/>
            <c:dispRSqr val="1"/>
            <c:trendlineLbl>
              <c:numFmt formatCode="General"/>
            </c:trendlineLbl>
          </c:trendline>
          <c:xVal>
            <c:numRef>
              <c:f>'roberts 1991'!$AI$20:$AI$25</c:f>
              <c:numCache>
                <c:ptCount val="6"/>
                <c:pt idx="0">
                  <c:v>0</c:v>
                </c:pt>
                <c:pt idx="1">
                  <c:v>0</c:v>
                </c:pt>
                <c:pt idx="2">
                  <c:v>0</c:v>
                </c:pt>
                <c:pt idx="3">
                  <c:v>0</c:v>
                </c:pt>
                <c:pt idx="4">
                  <c:v>0</c:v>
                </c:pt>
                <c:pt idx="5">
                  <c:v>0</c:v>
                </c:pt>
              </c:numCache>
            </c:numRef>
          </c:xVal>
          <c:yVal>
            <c:numRef>
              <c:f>'roberts 1991'!$AS$20:$AS$25</c:f>
              <c:numCache>
                <c:ptCount val="6"/>
                <c:pt idx="0">
                  <c:v>0</c:v>
                </c:pt>
                <c:pt idx="1">
                  <c:v>0</c:v>
                </c:pt>
                <c:pt idx="2">
                  <c:v>0</c:v>
                </c:pt>
                <c:pt idx="3">
                  <c:v>0</c:v>
                </c:pt>
                <c:pt idx="4">
                  <c:v>0</c:v>
                </c:pt>
                <c:pt idx="5">
                  <c:v>0</c:v>
                </c:pt>
              </c:numCache>
            </c:numRef>
          </c:yVal>
          <c:smooth val="0"/>
        </c:ser>
        <c:axId val="15571021"/>
        <c:axId val="5921462"/>
      </c:scatterChart>
      <c:valAx>
        <c:axId val="15571021"/>
        <c:scaling>
          <c:orientation val="minMax"/>
        </c:scaling>
        <c:axPos val="b"/>
        <c:title>
          <c:tx>
            <c:rich>
              <a:bodyPr vert="horz" rot="0" anchor="ctr"/>
              <a:lstStyle/>
              <a:p>
                <a:pPr algn="ctr">
                  <a:defRPr/>
                </a:pPr>
                <a:r>
                  <a:rPr lang="en-US" cap="none" sz="1000"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5921462"/>
        <c:crosses val="autoZero"/>
        <c:crossBetween val="midCat"/>
        <c:dispUnits/>
      </c:valAx>
      <c:valAx>
        <c:axId val="5921462"/>
        <c:scaling>
          <c:orientation val="minMax"/>
        </c:scaling>
        <c:axPos val="l"/>
        <c:title>
          <c:tx>
            <c:rich>
              <a:bodyPr vert="horz" rot="-5400000" anchor="ctr"/>
              <a:lstStyle/>
              <a:p>
                <a:pPr algn="ctr">
                  <a:defRPr/>
                </a:pPr>
                <a:r>
                  <a:rPr lang="en-US" cap="none" sz="1000" b="1" i="0" u="none" baseline="0">
                    <a:latin typeface="Arial"/>
                    <a:ea typeface="Arial"/>
                    <a:cs typeface="Arial"/>
                  </a:rPr>
                  <a:t>norm</a:t>
                </a:r>
              </a:p>
            </c:rich>
          </c:tx>
          <c:layout/>
          <c:overlay val="0"/>
          <c:spPr>
            <a:noFill/>
            <a:ln>
              <a:noFill/>
            </a:ln>
          </c:spPr>
        </c:title>
        <c:majorGridlines/>
        <c:delete val="0"/>
        <c:numFmt formatCode="General" sourceLinked="1"/>
        <c:majorTickMark val="out"/>
        <c:minorTickMark val="none"/>
        <c:tickLblPos val="nextTo"/>
        <c:crossAx val="15571021"/>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norcaine</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'roberts 1991'!$AI$20:$AI$25</c:f>
              <c:numCache>
                <c:ptCount val="6"/>
                <c:pt idx="0">
                  <c:v>0</c:v>
                </c:pt>
                <c:pt idx="1">
                  <c:v>0</c:v>
                </c:pt>
                <c:pt idx="2">
                  <c:v>0</c:v>
                </c:pt>
                <c:pt idx="3">
                  <c:v>0</c:v>
                </c:pt>
                <c:pt idx="4">
                  <c:v>0</c:v>
                </c:pt>
                <c:pt idx="5">
                  <c:v>0</c:v>
                </c:pt>
              </c:numCache>
            </c:numRef>
          </c:xVal>
          <c:yVal>
            <c:numRef>
              <c:f>'roberts 1991'!$AU$20:$AU$25</c:f>
              <c:numCache>
                <c:ptCount val="6"/>
                <c:pt idx="0">
                  <c:v>0</c:v>
                </c:pt>
                <c:pt idx="1">
                  <c:v>0</c:v>
                </c:pt>
                <c:pt idx="2">
                  <c:v>0</c:v>
                </c:pt>
                <c:pt idx="3">
                  <c:v>0</c:v>
                </c:pt>
                <c:pt idx="4">
                  <c:v>0</c:v>
                </c:pt>
                <c:pt idx="5">
                  <c:v>0</c:v>
                </c:pt>
              </c:numCache>
            </c:numRef>
          </c:yVal>
          <c:smooth val="0"/>
        </c:ser>
        <c:axId val="53293159"/>
        <c:axId val="9876384"/>
      </c:scatterChart>
      <c:valAx>
        <c:axId val="53293159"/>
        <c:scaling>
          <c:orientation val="minMax"/>
        </c:scaling>
        <c:axPos val="b"/>
        <c:title>
          <c:tx>
            <c:rich>
              <a:bodyPr vert="horz" rot="0" anchor="ctr"/>
              <a:lstStyle/>
              <a:p>
                <a:pPr algn="ctr">
                  <a:defRPr/>
                </a:pPr>
                <a:r>
                  <a:rPr lang="en-US" cap="none" sz="1000"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9876384"/>
        <c:crosses val="autoZero"/>
        <c:crossBetween val="midCat"/>
        <c:dispUnits/>
      </c:valAx>
      <c:valAx>
        <c:axId val="9876384"/>
        <c:scaling>
          <c:orientation val="minMax"/>
        </c:scaling>
        <c:axPos val="l"/>
        <c:title>
          <c:tx>
            <c:rich>
              <a:bodyPr vert="horz" rot="-5400000" anchor="ctr"/>
              <a:lstStyle/>
              <a:p>
                <a:pPr algn="ctr">
                  <a:defRPr/>
                </a:pPr>
                <a:r>
                  <a:rPr lang="en-US" cap="none" sz="1000" b="1" i="0" u="none" baseline="0">
                    <a:latin typeface="Arial"/>
                    <a:ea typeface="Arial"/>
                    <a:cs typeface="Arial"/>
                  </a:rPr>
                  <a:t>Vmax/Km</a:t>
                </a:r>
              </a:p>
            </c:rich>
          </c:tx>
          <c:layout/>
          <c:overlay val="0"/>
          <c:spPr>
            <a:noFill/>
            <a:ln>
              <a:noFill/>
            </a:ln>
          </c:spPr>
        </c:title>
        <c:majorGridlines/>
        <c:delete val="0"/>
        <c:numFmt formatCode="General" sourceLinked="1"/>
        <c:majorTickMark val="out"/>
        <c:minorTickMark val="none"/>
        <c:tickLblPos val="nextTo"/>
        <c:crossAx val="53293159"/>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norcaine</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'roberts 1991'!$AI$20:$AI$25</c:f>
              <c:numCache>
                <c:ptCount val="6"/>
                <c:pt idx="0">
                  <c:v>0</c:v>
                </c:pt>
                <c:pt idx="1">
                  <c:v>0</c:v>
                </c:pt>
                <c:pt idx="2">
                  <c:v>0</c:v>
                </c:pt>
                <c:pt idx="3">
                  <c:v>0</c:v>
                </c:pt>
                <c:pt idx="4">
                  <c:v>0</c:v>
                </c:pt>
                <c:pt idx="5">
                  <c:v>0</c:v>
                </c:pt>
              </c:numCache>
            </c:numRef>
          </c:xVal>
          <c:yVal>
            <c:numRef>
              <c:f>'roberts 1991'!$BB$20:$BB$25</c:f>
              <c:numCache>
                <c:ptCount val="6"/>
                <c:pt idx="0">
                  <c:v>0</c:v>
                </c:pt>
                <c:pt idx="1">
                  <c:v>0</c:v>
                </c:pt>
                <c:pt idx="2">
                  <c:v>0</c:v>
                </c:pt>
                <c:pt idx="3">
                  <c:v>0</c:v>
                </c:pt>
                <c:pt idx="4">
                  <c:v>0</c:v>
                </c:pt>
                <c:pt idx="5">
                  <c:v>0</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trendline>
            <c:trendlineType val="linear"/>
            <c:dispEq val="1"/>
            <c:dispRSqr val="1"/>
            <c:trendlineLbl>
              <c:numFmt formatCode="General"/>
            </c:trendlineLbl>
          </c:trendline>
          <c:xVal>
            <c:numRef>
              <c:f>'roberts 1991'!$AI$20:$AI$25</c:f>
              <c:numCache>
                <c:ptCount val="6"/>
                <c:pt idx="0">
                  <c:v>0</c:v>
                </c:pt>
                <c:pt idx="1">
                  <c:v>0</c:v>
                </c:pt>
                <c:pt idx="2">
                  <c:v>0</c:v>
                </c:pt>
                <c:pt idx="3">
                  <c:v>0</c:v>
                </c:pt>
                <c:pt idx="4">
                  <c:v>0</c:v>
                </c:pt>
                <c:pt idx="5">
                  <c:v>0</c:v>
                </c:pt>
              </c:numCache>
            </c:numRef>
          </c:xVal>
          <c:yVal>
            <c:numRef>
              <c:f>'roberts 1991'!$BC$20:$BC$25</c:f>
              <c:numCache>
                <c:ptCount val="6"/>
                <c:pt idx="0">
                  <c:v>0</c:v>
                </c:pt>
                <c:pt idx="1">
                  <c:v>0</c:v>
                </c:pt>
                <c:pt idx="2">
                  <c:v>0</c:v>
                </c:pt>
                <c:pt idx="3">
                  <c:v>0</c:v>
                </c:pt>
                <c:pt idx="4">
                  <c:v>0</c:v>
                </c:pt>
                <c:pt idx="5">
                  <c:v>0</c:v>
                </c:pt>
              </c:numCache>
            </c:numRef>
          </c:y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'roberts 1991'!$AI$20:$AI$25</c:f>
              <c:numCache>
                <c:ptCount val="6"/>
                <c:pt idx="0">
                  <c:v>0</c:v>
                </c:pt>
                <c:pt idx="1">
                  <c:v>0</c:v>
                </c:pt>
                <c:pt idx="2">
                  <c:v>0</c:v>
                </c:pt>
                <c:pt idx="3">
                  <c:v>0</c:v>
                </c:pt>
                <c:pt idx="4">
                  <c:v>0</c:v>
                </c:pt>
                <c:pt idx="5">
                  <c:v>0</c:v>
                </c:pt>
              </c:numCache>
            </c:numRef>
          </c:xVal>
          <c:yVal>
            <c:numRef>
              <c:f>'roberts 1991'!$BD$20:$BD$25</c:f>
              <c:numCache>
                <c:ptCount val="6"/>
                <c:pt idx="0">
                  <c:v>0</c:v>
                </c:pt>
                <c:pt idx="1">
                  <c:v>0</c:v>
                </c:pt>
                <c:pt idx="2">
                  <c:v>0</c:v>
                </c:pt>
                <c:pt idx="3">
                  <c:v>0</c:v>
                </c:pt>
                <c:pt idx="4">
                  <c:v>0</c:v>
                </c:pt>
                <c:pt idx="5">
                  <c:v>0</c:v>
                </c:pt>
              </c:numCache>
            </c:numRef>
          </c:yVal>
          <c:smooth val="0"/>
        </c:ser>
        <c:ser>
          <c:idx val="3"/>
          <c:order val="3"/>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trendline>
            <c:trendlineType val="linear"/>
            <c:dispEq val="1"/>
            <c:dispRSqr val="1"/>
            <c:trendlineLbl>
              <c:numFmt formatCode="General"/>
            </c:trendlineLbl>
          </c:trendline>
          <c:xVal>
            <c:numRef>
              <c:f>'roberts 1991'!$AI$20:$AI$25</c:f>
              <c:numCache>
                <c:ptCount val="6"/>
                <c:pt idx="0">
                  <c:v>0</c:v>
                </c:pt>
                <c:pt idx="1">
                  <c:v>0</c:v>
                </c:pt>
                <c:pt idx="2">
                  <c:v>0</c:v>
                </c:pt>
                <c:pt idx="3">
                  <c:v>0</c:v>
                </c:pt>
                <c:pt idx="4">
                  <c:v>0</c:v>
                </c:pt>
                <c:pt idx="5">
                  <c:v>0</c:v>
                </c:pt>
              </c:numCache>
            </c:numRef>
          </c:xVal>
          <c:yVal>
            <c:numRef>
              <c:f>'roberts 1991'!$BE$20:$BE$25</c:f>
              <c:numCache>
                <c:ptCount val="6"/>
                <c:pt idx="0">
                  <c:v>0</c:v>
                </c:pt>
                <c:pt idx="1">
                  <c:v>0</c:v>
                </c:pt>
                <c:pt idx="2">
                  <c:v>0</c:v>
                </c:pt>
                <c:pt idx="3">
                  <c:v>0</c:v>
                </c:pt>
                <c:pt idx="4">
                  <c:v>0</c:v>
                </c:pt>
                <c:pt idx="5">
                  <c:v>0</c:v>
                </c:pt>
              </c:numCache>
            </c:numRef>
          </c:yVal>
          <c:smooth val="0"/>
        </c:ser>
        <c:axId val="21778593"/>
        <c:axId val="61789610"/>
      </c:scatterChart>
      <c:valAx>
        <c:axId val="21778593"/>
        <c:scaling>
          <c:orientation val="minMax"/>
        </c:scaling>
        <c:axPos val="b"/>
        <c:title>
          <c:tx>
            <c:rich>
              <a:bodyPr vert="horz" rot="0" anchor="ctr"/>
              <a:lstStyle/>
              <a:p>
                <a:pPr algn="ctr">
                  <a:defRPr/>
                </a:pPr>
                <a:r>
                  <a:rPr lang="en-US" cap="none" sz="1000"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61789610"/>
        <c:crosses val="autoZero"/>
        <c:crossBetween val="midCat"/>
        <c:dispUnits/>
      </c:valAx>
      <c:valAx>
        <c:axId val="61789610"/>
        <c:scaling>
          <c:orientation val="minMax"/>
        </c:scaling>
        <c:axPos val="l"/>
        <c:title>
          <c:tx>
            <c:rich>
              <a:bodyPr vert="horz" rot="-5400000" anchor="ctr"/>
              <a:lstStyle/>
              <a:p>
                <a:pPr algn="ctr">
                  <a:defRPr/>
                </a:pPr>
                <a:r>
                  <a:rPr lang="en-US" cap="none" sz="1000" b="1" i="0" u="none" baseline="0">
                    <a:latin typeface="Arial"/>
                    <a:ea typeface="Arial"/>
                    <a:cs typeface="Arial"/>
                  </a:rPr>
                  <a:t>lognormal</a:t>
                </a:r>
              </a:p>
            </c:rich>
          </c:tx>
          <c:layout/>
          <c:overlay val="0"/>
          <c:spPr>
            <a:noFill/>
            <a:ln>
              <a:noFill/>
            </a:ln>
          </c:spPr>
        </c:title>
        <c:majorGridlines/>
        <c:delete val="0"/>
        <c:numFmt formatCode="General" sourceLinked="1"/>
        <c:majorTickMark val="out"/>
        <c:minorTickMark val="none"/>
        <c:tickLblPos val="nextTo"/>
        <c:crossAx val="21778593"/>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correlation?</a:t>
            </a:r>
          </a:p>
        </c:rich>
      </c:tx>
      <c:layout/>
      <c:spPr>
        <a:noFill/>
        <a:ln>
          <a:noFill/>
        </a:ln>
      </c:spPr>
    </c:title>
    <c:plotArea>
      <c:layout/>
      <c:scatterChart>
        <c:scatterStyle val="lineMarker"/>
        <c:varyColors val="0"/>
        <c:ser>
          <c:idx val="0"/>
          <c:order val="0"/>
          <c:tx>
            <c:strRef>
              <c:f>'roberts 1991'!$W$19</c:f>
              <c:strCache>
                <c:ptCount val="1"/>
                <c:pt idx="0">
                  <c:v>log Km  mM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'roberts 1991'!$V$20:$V$25</c:f>
              <c:numCache>
                <c:ptCount val="6"/>
                <c:pt idx="0">
                  <c:v>0</c:v>
                </c:pt>
                <c:pt idx="1">
                  <c:v>0</c:v>
                </c:pt>
                <c:pt idx="2">
                  <c:v>0</c:v>
                </c:pt>
                <c:pt idx="3">
                  <c:v>0</c:v>
                </c:pt>
                <c:pt idx="4">
                  <c:v>0</c:v>
                </c:pt>
                <c:pt idx="5">
                  <c:v>0</c:v>
                </c:pt>
              </c:numCache>
            </c:numRef>
          </c:xVal>
          <c:yVal>
            <c:numRef>
              <c:f>'roberts 1991'!$W$20:$W$25</c:f>
              <c:numCache>
                <c:ptCount val="6"/>
                <c:pt idx="0">
                  <c:v>0</c:v>
                </c:pt>
                <c:pt idx="1">
                  <c:v>0</c:v>
                </c:pt>
                <c:pt idx="2">
                  <c:v>0</c:v>
                </c:pt>
                <c:pt idx="3">
                  <c:v>0</c:v>
                </c:pt>
                <c:pt idx="4">
                  <c:v>0</c:v>
                </c:pt>
                <c:pt idx="5">
                  <c:v>0</c:v>
                </c:pt>
              </c:numCache>
            </c:numRef>
          </c:yVal>
          <c:smooth val="0"/>
        </c:ser>
        <c:ser>
          <c:idx val="1"/>
          <c:order val="1"/>
          <c:tx>
            <c:strRef>
              <c:f>'roberts 1991'!$X$19</c:f>
              <c:strCache>
                <c:ptCount val="1"/>
                <c:pt idx="0">
                  <c:v>log Vmax nmol/min/mg protein</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trendline>
            <c:trendlineType val="linear"/>
            <c:dispEq val="1"/>
            <c:dispRSqr val="1"/>
            <c:trendlineLbl>
              <c:layout>
                <c:manualLayout>
                  <c:x val="0"/>
                  <c:y val="0"/>
                </c:manualLayout>
              </c:layout>
              <c:numFmt formatCode="General"/>
            </c:trendlineLbl>
          </c:trendline>
          <c:xVal>
            <c:numRef>
              <c:f>'roberts 1991'!$V$20:$V$25</c:f>
              <c:numCache>
                <c:ptCount val="6"/>
                <c:pt idx="0">
                  <c:v>0</c:v>
                </c:pt>
                <c:pt idx="1">
                  <c:v>0</c:v>
                </c:pt>
                <c:pt idx="2">
                  <c:v>0</c:v>
                </c:pt>
                <c:pt idx="3">
                  <c:v>0</c:v>
                </c:pt>
                <c:pt idx="4">
                  <c:v>0</c:v>
                </c:pt>
                <c:pt idx="5">
                  <c:v>0</c:v>
                </c:pt>
              </c:numCache>
            </c:numRef>
          </c:xVal>
          <c:yVal>
            <c:numRef>
              <c:f>'roberts 1991'!$X$20:$X$25</c:f>
              <c:numCache>
                <c:ptCount val="6"/>
                <c:pt idx="0">
                  <c:v>0</c:v>
                </c:pt>
                <c:pt idx="1">
                  <c:v>0</c:v>
                </c:pt>
                <c:pt idx="2">
                  <c:v>0</c:v>
                </c:pt>
                <c:pt idx="3">
                  <c:v>0</c:v>
                </c:pt>
                <c:pt idx="4">
                  <c:v>0</c:v>
                </c:pt>
                <c:pt idx="5">
                  <c:v>0</c:v>
                </c:pt>
              </c:numCache>
            </c:numRef>
          </c:yVal>
          <c:smooth val="0"/>
        </c:ser>
        <c:ser>
          <c:idx val="2"/>
          <c:order val="2"/>
          <c:tx>
            <c:strRef>
              <c:f>'roberts 1991'!$Y$19</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'roberts 1991'!$V$20:$V$25</c:f>
              <c:numCache>
                <c:ptCount val="6"/>
                <c:pt idx="0">
                  <c:v>0</c:v>
                </c:pt>
                <c:pt idx="1">
                  <c:v>0</c:v>
                </c:pt>
                <c:pt idx="2">
                  <c:v>0</c:v>
                </c:pt>
                <c:pt idx="3">
                  <c:v>0</c:v>
                </c:pt>
                <c:pt idx="4">
                  <c:v>0</c:v>
                </c:pt>
                <c:pt idx="5">
                  <c:v>0</c:v>
                </c:pt>
              </c:numCache>
            </c:numRef>
          </c:xVal>
          <c:yVal>
            <c:numRef>
              <c:f>'roberts 1991'!$Y$20:$Y$25</c:f>
              <c:numCache>
                <c:ptCount val="6"/>
                <c:pt idx="0">
                  <c:v>0</c:v>
                </c:pt>
                <c:pt idx="1">
                  <c:v>0</c:v>
                </c:pt>
                <c:pt idx="2">
                  <c:v>0</c:v>
                </c:pt>
                <c:pt idx="3">
                  <c:v>0</c:v>
                </c:pt>
                <c:pt idx="4">
                  <c:v>0</c:v>
                </c:pt>
                <c:pt idx="5">
                  <c:v>0</c:v>
                </c:pt>
              </c:numCache>
            </c:numRef>
          </c:yVal>
          <c:smooth val="0"/>
        </c:ser>
        <c:ser>
          <c:idx val="3"/>
          <c:order val="3"/>
          <c:tx>
            <c:strRef>
              <c:f>'roberts 1991'!$Z$19</c:f>
              <c:strCache>
                <c:ptCount val="1"/>
                <c:pt idx="0">
                  <c:v>log Vmax/Km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trendline>
            <c:trendlineType val="linear"/>
            <c:dispEq val="1"/>
            <c:dispRSqr val="1"/>
            <c:trendlineLbl>
              <c:numFmt formatCode="General"/>
            </c:trendlineLbl>
          </c:trendline>
          <c:xVal>
            <c:numRef>
              <c:f>'roberts 1991'!$V$20:$V$25</c:f>
              <c:numCache>
                <c:ptCount val="6"/>
                <c:pt idx="0">
                  <c:v>0</c:v>
                </c:pt>
                <c:pt idx="1">
                  <c:v>0</c:v>
                </c:pt>
                <c:pt idx="2">
                  <c:v>0</c:v>
                </c:pt>
                <c:pt idx="3">
                  <c:v>0</c:v>
                </c:pt>
                <c:pt idx="4">
                  <c:v>0</c:v>
                </c:pt>
                <c:pt idx="5">
                  <c:v>0</c:v>
                </c:pt>
              </c:numCache>
            </c:numRef>
          </c:xVal>
          <c:yVal>
            <c:numRef>
              <c:f>'roberts 1991'!$Z$20:$Z$25</c:f>
              <c:numCache>
                <c:ptCount val="6"/>
                <c:pt idx="0">
                  <c:v>0</c:v>
                </c:pt>
                <c:pt idx="1">
                  <c:v>0</c:v>
                </c:pt>
                <c:pt idx="2">
                  <c:v>0</c:v>
                </c:pt>
                <c:pt idx="3">
                  <c:v>0</c:v>
                </c:pt>
                <c:pt idx="4">
                  <c:v>0</c:v>
                </c:pt>
                <c:pt idx="5">
                  <c:v>0</c:v>
                </c:pt>
              </c:numCache>
            </c:numRef>
          </c:yVal>
          <c:smooth val="0"/>
        </c:ser>
        <c:axId val="19235579"/>
        <c:axId val="38902484"/>
      </c:scatterChart>
      <c:valAx>
        <c:axId val="19235579"/>
        <c:scaling>
          <c:orientation val="minMax"/>
        </c:scaling>
        <c:axPos val="b"/>
        <c:title>
          <c:tx>
            <c:rich>
              <a:bodyPr vert="horz" rot="0" anchor="ctr"/>
              <a:lstStyle/>
              <a:p>
                <a:pPr algn="ctr">
                  <a:defRPr/>
                </a:pPr>
                <a:r>
                  <a:rPr lang="en-US" cap="none" sz="1000" b="1" i="0" u="none" baseline="0">
                    <a:latin typeface="Arial"/>
                    <a:ea typeface="Arial"/>
                    <a:cs typeface="Arial"/>
                  </a:rPr>
                  <a:t>p450/ microsome</a:t>
                </a:r>
              </a:p>
            </c:rich>
          </c:tx>
          <c:layout/>
          <c:overlay val="0"/>
          <c:spPr>
            <a:noFill/>
            <a:ln>
              <a:noFill/>
            </a:ln>
          </c:spPr>
        </c:title>
        <c:delete val="0"/>
        <c:numFmt formatCode="General" sourceLinked="1"/>
        <c:majorTickMark val="out"/>
        <c:minorTickMark val="none"/>
        <c:tickLblPos val="nextTo"/>
        <c:crossAx val="38902484"/>
        <c:crosses val="autoZero"/>
        <c:crossBetween val="midCat"/>
        <c:dispUnits/>
      </c:valAx>
      <c:valAx>
        <c:axId val="38902484"/>
        <c:scaling>
          <c:orientation val="minMax"/>
        </c:scaling>
        <c:axPos val="l"/>
        <c:title>
          <c:tx>
            <c:rich>
              <a:bodyPr vert="horz" rot="-5400000" anchor="ctr"/>
              <a:lstStyle/>
              <a:p>
                <a:pPr algn="ctr">
                  <a:defRPr/>
                </a:pPr>
                <a:r>
                  <a:rPr lang="en-US" cap="none" sz="1000" b="1" i="0" u="none" baseline="0">
                    <a:latin typeface="Arial"/>
                    <a:ea typeface="Arial"/>
                    <a:cs typeface="Arial"/>
                  </a:rPr>
                  <a:t>pk param</a:t>
                </a:r>
              </a:p>
            </c:rich>
          </c:tx>
          <c:layout/>
          <c:overlay val="0"/>
          <c:spPr>
            <a:noFill/>
            <a:ln>
              <a:noFill/>
            </a:ln>
          </c:spPr>
        </c:title>
        <c:majorGridlines/>
        <c:delete val="0"/>
        <c:numFmt formatCode="General" sourceLinked="1"/>
        <c:majorTickMark val="out"/>
        <c:minorTickMark val="none"/>
        <c:tickLblPos val="nextTo"/>
        <c:crossAx val="19235579"/>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Log Km</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'Wandel 1998 '!$S$13:$S$28</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xVal>
          <c:yVal>
            <c:numRef>
              <c:f>'Wandel 1998 '!$T$13:$T$28</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yVal>
          <c:smooth val="0"/>
        </c:ser>
        <c:axId val="59807863"/>
        <c:axId val="1399856"/>
      </c:scatterChart>
      <c:valAx>
        <c:axId val="59807863"/>
        <c:scaling>
          <c:orientation val="minMax"/>
        </c:scaling>
        <c:axPos val="b"/>
        <c:title>
          <c:tx>
            <c:rich>
              <a:bodyPr vert="horz" rot="0" anchor="ctr"/>
              <a:lstStyle/>
              <a:p>
                <a:pPr algn="ctr">
                  <a:defRPr/>
                </a:pPr>
                <a:r>
                  <a:rPr lang="en-US" cap="none" sz="1000"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1399856"/>
        <c:crosses val="autoZero"/>
        <c:crossBetween val="midCat"/>
        <c:dispUnits/>
      </c:valAx>
      <c:valAx>
        <c:axId val="1399856"/>
        <c:scaling>
          <c:orientation val="minMax"/>
        </c:scaling>
        <c:axPos val="l"/>
        <c:title>
          <c:tx>
            <c:rich>
              <a:bodyPr vert="horz" rot="-5400000" anchor="ctr"/>
              <a:lstStyle/>
              <a:p>
                <a:pPr algn="ctr">
                  <a:defRPr/>
                </a:pPr>
                <a:r>
                  <a:rPr lang="en-US" cap="none" sz="1000" b="1" i="0" u="none" baseline="0">
                    <a:latin typeface="Arial"/>
                    <a:ea typeface="Arial"/>
                    <a:cs typeface="Arial"/>
                  </a:rPr>
                  <a:t>log Km</a:t>
                </a:r>
              </a:p>
            </c:rich>
          </c:tx>
          <c:layout/>
          <c:overlay val="0"/>
          <c:spPr>
            <a:noFill/>
            <a:ln>
              <a:noFill/>
            </a:ln>
          </c:spPr>
        </c:title>
        <c:majorGridlines/>
        <c:delete val="0"/>
        <c:numFmt formatCode="General" sourceLinked="1"/>
        <c:majorTickMark val="out"/>
        <c:minorTickMark val="none"/>
        <c:tickLblPos val="nextTo"/>
        <c:crossAx val="59807863"/>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norcaine correlation</a:t>
            </a:r>
          </a:p>
        </c:rich>
      </c:tx>
      <c:layout>
        <c:manualLayout>
          <c:xMode val="factor"/>
          <c:yMode val="factor"/>
          <c:x val="0.08075"/>
          <c:y val="-0.02025"/>
        </c:manualLayout>
      </c:layout>
      <c:spPr>
        <a:noFill/>
        <a:ln>
          <a:noFill/>
        </a:ln>
      </c:spPr>
    </c:title>
    <c:plotArea>
      <c:layout>
        <c:manualLayout>
          <c:xMode val="edge"/>
          <c:yMode val="edge"/>
          <c:x val="0.071"/>
          <c:y val="0.188"/>
          <c:w val="0.60925"/>
          <c:h val="0.6845"/>
        </c:manualLayout>
      </c:layout>
      <c:scatterChart>
        <c:scatterStyle val="lineMarker"/>
        <c:varyColors val="0"/>
        <c:ser>
          <c:idx val="0"/>
          <c:order val="0"/>
          <c:tx>
            <c:strRef>
              <c:f>'roberts 1991'!$AB$19</c:f>
              <c:strCache>
                <c:ptCount val="1"/>
                <c:pt idx="0">
                  <c:v>log Km  mM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'roberts 1991'!$AA$20:$AA$25</c:f>
              <c:numCache>
                <c:ptCount val="6"/>
                <c:pt idx="0">
                  <c:v>0</c:v>
                </c:pt>
                <c:pt idx="1">
                  <c:v>0</c:v>
                </c:pt>
                <c:pt idx="2">
                  <c:v>0</c:v>
                </c:pt>
                <c:pt idx="3">
                  <c:v>0</c:v>
                </c:pt>
                <c:pt idx="4">
                  <c:v>0</c:v>
                </c:pt>
                <c:pt idx="5">
                  <c:v>0</c:v>
                </c:pt>
              </c:numCache>
            </c:numRef>
          </c:xVal>
          <c:yVal>
            <c:numRef>
              <c:f>'roberts 1991'!$AB$20:$AB$25</c:f>
              <c:numCache>
                <c:ptCount val="6"/>
                <c:pt idx="0">
                  <c:v>0</c:v>
                </c:pt>
                <c:pt idx="1">
                  <c:v>0</c:v>
                </c:pt>
                <c:pt idx="2">
                  <c:v>0</c:v>
                </c:pt>
                <c:pt idx="3">
                  <c:v>0</c:v>
                </c:pt>
                <c:pt idx="4">
                  <c:v>0</c:v>
                </c:pt>
                <c:pt idx="5">
                  <c:v>0</c:v>
                </c:pt>
              </c:numCache>
            </c:numRef>
          </c:yVal>
          <c:smooth val="0"/>
        </c:ser>
        <c:ser>
          <c:idx val="1"/>
          <c:order val="1"/>
          <c:tx>
            <c:strRef>
              <c:f>'roberts 1991'!$AC$19</c:f>
              <c:strCache>
                <c:ptCount val="1"/>
                <c:pt idx="0">
                  <c:v>log Vmax nmol/min/mg protein</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trendline>
            <c:trendlineType val="linear"/>
            <c:dispEq val="1"/>
            <c:dispRSqr val="1"/>
            <c:trendlineLbl>
              <c:numFmt formatCode="General"/>
            </c:trendlineLbl>
          </c:trendline>
          <c:xVal>
            <c:numRef>
              <c:f>'roberts 1991'!$AA$20:$AA$25</c:f>
              <c:numCache>
                <c:ptCount val="6"/>
                <c:pt idx="0">
                  <c:v>0</c:v>
                </c:pt>
                <c:pt idx="1">
                  <c:v>0</c:v>
                </c:pt>
                <c:pt idx="2">
                  <c:v>0</c:v>
                </c:pt>
                <c:pt idx="3">
                  <c:v>0</c:v>
                </c:pt>
                <c:pt idx="4">
                  <c:v>0</c:v>
                </c:pt>
                <c:pt idx="5">
                  <c:v>0</c:v>
                </c:pt>
              </c:numCache>
            </c:numRef>
          </c:xVal>
          <c:yVal>
            <c:numRef>
              <c:f>'roberts 1991'!$AC$20:$AC$25</c:f>
              <c:numCache>
                <c:ptCount val="6"/>
                <c:pt idx="0">
                  <c:v>0</c:v>
                </c:pt>
                <c:pt idx="1">
                  <c:v>0</c:v>
                </c:pt>
                <c:pt idx="2">
                  <c:v>0</c:v>
                </c:pt>
                <c:pt idx="3">
                  <c:v>0</c:v>
                </c:pt>
                <c:pt idx="4">
                  <c:v>0</c:v>
                </c:pt>
                <c:pt idx="5">
                  <c:v>0</c:v>
                </c:pt>
              </c:numCache>
            </c:numRef>
          </c:yVal>
          <c:smooth val="0"/>
        </c:ser>
        <c:ser>
          <c:idx val="2"/>
          <c:order val="2"/>
          <c:tx>
            <c:strRef>
              <c:f>'roberts 1991'!$AD$19</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'roberts 1991'!$AA$20:$AA$25</c:f>
              <c:numCache>
                <c:ptCount val="6"/>
                <c:pt idx="0">
                  <c:v>0</c:v>
                </c:pt>
                <c:pt idx="1">
                  <c:v>0</c:v>
                </c:pt>
                <c:pt idx="2">
                  <c:v>0</c:v>
                </c:pt>
                <c:pt idx="3">
                  <c:v>0</c:v>
                </c:pt>
                <c:pt idx="4">
                  <c:v>0</c:v>
                </c:pt>
                <c:pt idx="5">
                  <c:v>0</c:v>
                </c:pt>
              </c:numCache>
            </c:numRef>
          </c:xVal>
          <c:yVal>
            <c:numRef>
              <c:f>'roberts 1991'!$AD$20:$AD$25</c:f>
              <c:numCache>
                <c:ptCount val="6"/>
                <c:pt idx="0">
                  <c:v>0</c:v>
                </c:pt>
                <c:pt idx="1">
                  <c:v>0</c:v>
                </c:pt>
                <c:pt idx="2">
                  <c:v>0</c:v>
                </c:pt>
                <c:pt idx="3">
                  <c:v>0</c:v>
                </c:pt>
                <c:pt idx="4">
                  <c:v>0</c:v>
                </c:pt>
                <c:pt idx="5">
                  <c:v>0</c:v>
                </c:pt>
              </c:numCache>
            </c:numRef>
          </c:yVal>
          <c:smooth val="0"/>
        </c:ser>
        <c:ser>
          <c:idx val="3"/>
          <c:order val="3"/>
          <c:tx>
            <c:strRef>
              <c:f>'roberts 1991'!$AE$19</c:f>
              <c:strCache>
                <c:ptCount val="1"/>
                <c:pt idx="0">
                  <c:v>log Vmax/Km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trendline>
            <c:trendlineType val="linear"/>
            <c:dispEq val="1"/>
            <c:dispRSqr val="1"/>
            <c:trendlineLbl>
              <c:numFmt formatCode="General"/>
            </c:trendlineLbl>
          </c:trendline>
          <c:xVal>
            <c:numRef>
              <c:f>'roberts 1991'!$AA$20:$AA$25</c:f>
              <c:numCache>
                <c:ptCount val="6"/>
                <c:pt idx="0">
                  <c:v>0</c:v>
                </c:pt>
                <c:pt idx="1">
                  <c:v>0</c:v>
                </c:pt>
                <c:pt idx="2">
                  <c:v>0</c:v>
                </c:pt>
                <c:pt idx="3">
                  <c:v>0</c:v>
                </c:pt>
                <c:pt idx="4">
                  <c:v>0</c:v>
                </c:pt>
                <c:pt idx="5">
                  <c:v>0</c:v>
                </c:pt>
              </c:numCache>
            </c:numRef>
          </c:xVal>
          <c:yVal>
            <c:numRef>
              <c:f>'roberts 1991'!$AE$20:$AE$25</c:f>
              <c:numCache>
                <c:ptCount val="6"/>
                <c:pt idx="0">
                  <c:v>0</c:v>
                </c:pt>
                <c:pt idx="1">
                  <c:v>0</c:v>
                </c:pt>
                <c:pt idx="2">
                  <c:v>0</c:v>
                </c:pt>
                <c:pt idx="3">
                  <c:v>0</c:v>
                </c:pt>
                <c:pt idx="4">
                  <c:v>0</c:v>
                </c:pt>
                <c:pt idx="5">
                  <c:v>0</c:v>
                </c:pt>
              </c:numCache>
            </c:numRef>
          </c:yVal>
          <c:smooth val="0"/>
        </c:ser>
        <c:axId val="14578037"/>
        <c:axId val="64093470"/>
      </c:scatterChart>
      <c:valAx>
        <c:axId val="14578037"/>
        <c:scaling>
          <c:orientation val="minMax"/>
        </c:scaling>
        <c:axPos val="b"/>
        <c:title>
          <c:tx>
            <c:rich>
              <a:bodyPr vert="horz" rot="0" anchor="ctr"/>
              <a:lstStyle/>
              <a:p>
                <a:pPr algn="ctr">
                  <a:defRPr/>
                </a:pPr>
                <a:r>
                  <a:rPr lang="en-US" cap="none" sz="1000" b="1" i="0" u="none" baseline="0">
                    <a:latin typeface="Arial"/>
                    <a:ea typeface="Arial"/>
                    <a:cs typeface="Arial"/>
                  </a:rPr>
                  <a:t>p450/microsome</a:t>
                </a:r>
              </a:p>
            </c:rich>
          </c:tx>
          <c:layout/>
          <c:overlay val="0"/>
          <c:spPr>
            <a:noFill/>
            <a:ln>
              <a:noFill/>
            </a:ln>
          </c:spPr>
        </c:title>
        <c:delete val="0"/>
        <c:numFmt formatCode="General" sourceLinked="1"/>
        <c:majorTickMark val="out"/>
        <c:minorTickMark val="none"/>
        <c:tickLblPos val="nextTo"/>
        <c:crossAx val="64093470"/>
        <c:crosses val="autoZero"/>
        <c:crossBetween val="midCat"/>
        <c:dispUnits/>
      </c:valAx>
      <c:valAx>
        <c:axId val="64093470"/>
        <c:scaling>
          <c:orientation val="minMax"/>
        </c:scaling>
        <c:axPos val="l"/>
        <c:title>
          <c:tx>
            <c:rich>
              <a:bodyPr vert="horz" rot="-5400000" anchor="ctr"/>
              <a:lstStyle/>
              <a:p>
                <a:pPr algn="ctr">
                  <a:defRPr/>
                </a:pPr>
                <a:r>
                  <a:rPr lang="en-US" cap="none" sz="1000" b="1" i="0" u="none" baseline="0">
                    <a:latin typeface="Arial"/>
                    <a:ea typeface="Arial"/>
                    <a:cs typeface="Arial"/>
                  </a:rPr>
                  <a:t>pk parameter</a:t>
                </a:r>
              </a:p>
            </c:rich>
          </c:tx>
          <c:layout/>
          <c:overlay val="0"/>
          <c:spPr>
            <a:noFill/>
            <a:ln>
              <a:noFill/>
            </a:ln>
          </c:spPr>
        </c:title>
        <c:majorGridlines/>
        <c:delete val="0"/>
        <c:numFmt formatCode="General" sourceLinked="1"/>
        <c:majorTickMark val="out"/>
        <c:minorTickMark val="none"/>
        <c:tickLblPos val="nextTo"/>
        <c:crossAx val="14578037"/>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formation</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'gardner 1997'!$M$11:$M$23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'gardner 1997'!$N$11:$N$23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ser>
        <c:axId val="39970319"/>
        <c:axId val="24188552"/>
      </c:scatterChart>
      <c:valAx>
        <c:axId val="39970319"/>
        <c:scaling>
          <c:orientation val="minMax"/>
        </c:scaling>
        <c:axPos val="b"/>
        <c:title>
          <c:tx>
            <c:rich>
              <a:bodyPr vert="horz" rot="0" anchor="ctr"/>
              <a:lstStyle/>
              <a:p>
                <a:pPr algn="ctr">
                  <a:defRPr/>
                </a:pPr>
                <a:r>
                  <a:rPr lang="en-US" cap="none" sz="1000"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24188552"/>
        <c:crosses val="autoZero"/>
        <c:crossBetween val="midCat"/>
        <c:dispUnits/>
      </c:valAx>
      <c:valAx>
        <c:axId val="24188552"/>
        <c:scaling>
          <c:orientation val="minMax"/>
        </c:scaling>
        <c:axPos val="l"/>
        <c:title>
          <c:tx>
            <c:rich>
              <a:bodyPr vert="horz" rot="-5400000" anchor="ctr"/>
              <a:lstStyle/>
              <a:p>
                <a:pPr algn="ctr">
                  <a:defRPr/>
                </a:pPr>
                <a:r>
                  <a:rPr lang="en-US" cap="none" sz="1000" b="1" i="0" u="none" baseline="0">
                    <a:latin typeface="Arial"/>
                    <a:ea typeface="Arial"/>
                    <a:cs typeface="Arial"/>
                  </a:rPr>
                  <a:t>log</a:t>
                </a:r>
              </a:p>
            </c:rich>
          </c:tx>
          <c:layout/>
          <c:overlay val="0"/>
          <c:spPr>
            <a:noFill/>
            <a:ln>
              <a:noFill/>
            </a:ln>
          </c:spPr>
        </c:title>
        <c:majorGridlines/>
        <c:delete val="0"/>
        <c:numFmt formatCode="General" sourceLinked="1"/>
        <c:majorTickMark val="out"/>
        <c:minorTickMark val="none"/>
        <c:tickLblPos val="nextTo"/>
        <c:crossAx val="39970319"/>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375"/>
          <c:y val="0.07375"/>
          <c:w val="0.8245"/>
          <c:h val="0.926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numFmt formatCode="General"/>
            </c:trendlineLbl>
          </c:trendline>
          <c:xVal>
            <c:numRef>
              <c:f>'gardner 1997'!$M$11:$M$23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'gardner 1997'!$O$11:$O$23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ser>
        <c:axId val="16370377"/>
        <c:axId val="13115666"/>
      </c:scatterChart>
      <c:valAx>
        <c:axId val="16370377"/>
        <c:scaling>
          <c:orientation val="minMax"/>
        </c:scaling>
        <c:axPos val="b"/>
        <c:delete val="0"/>
        <c:numFmt formatCode="General" sourceLinked="1"/>
        <c:majorTickMark val="out"/>
        <c:minorTickMark val="none"/>
        <c:tickLblPos val="nextTo"/>
        <c:crossAx val="13115666"/>
        <c:crosses val="autoZero"/>
        <c:crossBetween val="midCat"/>
        <c:dispUnits/>
      </c:valAx>
      <c:valAx>
        <c:axId val="13115666"/>
        <c:scaling>
          <c:orientation val="minMax"/>
        </c:scaling>
        <c:axPos val="l"/>
        <c:majorGridlines/>
        <c:delete val="0"/>
        <c:numFmt formatCode="General" sourceLinked="1"/>
        <c:majorTickMark val="out"/>
        <c:minorTickMark val="none"/>
        <c:tickLblPos val="nextTo"/>
        <c:crossAx val="16370377"/>
        <c:crosses val="autoZero"/>
        <c:crossBetween val="midCat"/>
        <c:dispUnits/>
      </c:valAx>
      <c:spPr>
        <a:solidFill>
          <a:srgbClr val="C0C0C0"/>
        </a:solidFill>
        <a:ln w="12700">
          <a:solidFill>
            <a:srgbClr val="808080"/>
          </a:solidFill>
        </a:ln>
      </c:spPr>
    </c:plotArea>
    <c:legend>
      <c:legendPos val="r"/>
      <c:layout>
        <c:manualLayout>
          <c:xMode val="edge"/>
          <c:yMode val="edge"/>
          <c:x val="0.76125"/>
          <c:y val="0.393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correlation</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'gardner 1997'!$R$14:$R$23</c:f>
              <c:numCache>
                <c:ptCount val="10"/>
                <c:pt idx="0">
                  <c:v>0</c:v>
                </c:pt>
                <c:pt idx="1">
                  <c:v>0</c:v>
                </c:pt>
                <c:pt idx="2">
                  <c:v>0</c:v>
                </c:pt>
                <c:pt idx="3">
                  <c:v>0</c:v>
                </c:pt>
                <c:pt idx="4">
                  <c:v>0</c:v>
                </c:pt>
                <c:pt idx="5">
                  <c:v>0</c:v>
                </c:pt>
                <c:pt idx="6">
                  <c:v>0</c:v>
                </c:pt>
                <c:pt idx="7">
                  <c:v>0</c:v>
                </c:pt>
                <c:pt idx="8">
                  <c:v>0</c:v>
                </c:pt>
                <c:pt idx="9">
                  <c:v>0</c:v>
                </c:pt>
              </c:numCache>
            </c:numRef>
          </c:xVal>
          <c:yVal>
            <c:numRef>
              <c:f>'gardner 1997'!$S$14:$S$23</c:f>
              <c:numCache>
                <c:ptCount val="10"/>
                <c:pt idx="0">
                  <c:v>0</c:v>
                </c:pt>
                <c:pt idx="1">
                  <c:v>0</c:v>
                </c:pt>
                <c:pt idx="2">
                  <c:v>0</c:v>
                </c:pt>
                <c:pt idx="3">
                  <c:v>0</c:v>
                </c:pt>
                <c:pt idx="4">
                  <c:v>0</c:v>
                </c:pt>
                <c:pt idx="5">
                  <c:v>0</c:v>
                </c:pt>
                <c:pt idx="6">
                  <c:v>0</c:v>
                </c:pt>
                <c:pt idx="7">
                  <c:v>0</c:v>
                </c:pt>
                <c:pt idx="8">
                  <c:v>0</c:v>
                </c:pt>
                <c:pt idx="9">
                  <c:v>0</c:v>
                </c:pt>
              </c:numCache>
            </c:numRef>
          </c:yVal>
          <c:smooth val="0"/>
        </c:ser>
        <c:axId val="50932131"/>
        <c:axId val="55735996"/>
      </c:scatterChart>
      <c:valAx>
        <c:axId val="50932131"/>
        <c:scaling>
          <c:orientation val="minMax"/>
        </c:scaling>
        <c:axPos val="b"/>
        <c:title>
          <c:tx>
            <c:rich>
              <a:bodyPr vert="horz" rot="0" anchor="ctr"/>
              <a:lstStyle/>
              <a:p>
                <a:pPr algn="ctr">
                  <a:defRPr/>
                </a:pPr>
                <a:r>
                  <a:rPr lang="en-US" cap="none" sz="1000" b="1" i="0" u="none" baseline="0">
                    <a:latin typeface="Arial"/>
                    <a:ea typeface="Arial"/>
                    <a:cs typeface="Arial"/>
                  </a:rPr>
                  <a:t>p450</a:t>
                </a:r>
              </a:p>
            </c:rich>
          </c:tx>
          <c:layout/>
          <c:overlay val="0"/>
          <c:spPr>
            <a:noFill/>
            <a:ln>
              <a:noFill/>
            </a:ln>
          </c:spPr>
        </c:title>
        <c:delete val="0"/>
        <c:numFmt formatCode="General" sourceLinked="1"/>
        <c:majorTickMark val="out"/>
        <c:minorTickMark val="none"/>
        <c:tickLblPos val="nextTo"/>
        <c:crossAx val="55735996"/>
        <c:crosses val="autoZero"/>
        <c:crossBetween val="midCat"/>
        <c:dispUnits/>
      </c:valAx>
      <c:valAx>
        <c:axId val="55735996"/>
        <c:scaling>
          <c:orientation val="minMax"/>
        </c:scaling>
        <c:axPos val="l"/>
        <c:title>
          <c:tx>
            <c:rich>
              <a:bodyPr vert="horz" rot="-5400000" anchor="ctr"/>
              <a:lstStyle/>
              <a:p>
                <a:pPr algn="ctr">
                  <a:defRPr/>
                </a:pPr>
                <a:r>
                  <a:rPr lang="en-US" cap="none" sz="1000" b="1" i="0" u="none" baseline="0">
                    <a:latin typeface="Arial"/>
                    <a:ea typeface="Arial"/>
                    <a:cs typeface="Arial"/>
                  </a:rPr>
                  <a:t>activity</a:t>
                </a:r>
              </a:p>
            </c:rich>
          </c:tx>
          <c:layout/>
          <c:overlay val="0"/>
          <c:spPr>
            <a:noFill/>
            <a:ln>
              <a:noFill/>
            </a:ln>
          </c:spPr>
        </c:title>
        <c:majorGridlines/>
        <c:delete val="0"/>
        <c:numFmt formatCode="General" sourceLinked="1"/>
        <c:majorTickMark val="out"/>
        <c:minorTickMark val="none"/>
        <c:tickLblPos val="nextTo"/>
        <c:crossAx val="50932131"/>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numFmt formatCode="General"/>
            </c:trendlineLbl>
          </c:trendline>
          <c:xVal>
            <c:numRef>
              <c:f>'gardner 1997'!$M$11:$M$23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'gardner 1997'!$R$11:$R$23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ser>
        <c:axId val="31861917"/>
        <c:axId val="18321798"/>
      </c:scatterChart>
      <c:valAx>
        <c:axId val="31861917"/>
        <c:scaling>
          <c:orientation val="minMax"/>
        </c:scaling>
        <c:axPos val="b"/>
        <c:delete val="0"/>
        <c:numFmt formatCode="General" sourceLinked="1"/>
        <c:majorTickMark val="out"/>
        <c:minorTickMark val="none"/>
        <c:tickLblPos val="nextTo"/>
        <c:crossAx val="18321798"/>
        <c:crosses val="autoZero"/>
        <c:crossBetween val="midCat"/>
        <c:dispUnits/>
      </c:valAx>
      <c:valAx>
        <c:axId val="18321798"/>
        <c:scaling>
          <c:orientation val="minMax"/>
        </c:scaling>
        <c:axPos val="l"/>
        <c:majorGridlines/>
        <c:delete val="0"/>
        <c:numFmt formatCode="General" sourceLinked="1"/>
        <c:majorTickMark val="out"/>
        <c:minorTickMark val="none"/>
        <c:tickLblPos val="nextTo"/>
        <c:crossAx val="31861917"/>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normal</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'Kohl 2000'!$Q$13:$Q$18</c:f>
              <c:numCache>
                <c:ptCount val="6"/>
                <c:pt idx="0">
                  <c:v>0</c:v>
                </c:pt>
                <c:pt idx="1">
                  <c:v>0</c:v>
                </c:pt>
                <c:pt idx="2">
                  <c:v>0</c:v>
                </c:pt>
                <c:pt idx="3">
                  <c:v>0</c:v>
                </c:pt>
                <c:pt idx="4">
                  <c:v>0</c:v>
                </c:pt>
                <c:pt idx="5">
                  <c:v>0</c:v>
                </c:pt>
              </c:numCache>
            </c:numRef>
          </c:xVal>
          <c:yVal>
            <c:numRef>
              <c:f>'Kohl 2000'!$R$13:$R$18</c:f>
              <c:numCache>
                <c:ptCount val="6"/>
                <c:pt idx="0">
                  <c:v>0</c:v>
                </c:pt>
                <c:pt idx="1">
                  <c:v>0</c:v>
                </c:pt>
                <c:pt idx="2">
                  <c:v>0</c:v>
                </c:pt>
                <c:pt idx="3">
                  <c:v>0</c:v>
                </c:pt>
                <c:pt idx="4">
                  <c:v>0</c:v>
                </c:pt>
                <c:pt idx="5">
                  <c:v>0</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trendline>
            <c:trendlineType val="linear"/>
            <c:dispEq val="1"/>
            <c:dispRSqr val="1"/>
            <c:trendlineLbl>
              <c:layout>
                <c:manualLayout>
                  <c:x val="0"/>
                  <c:y val="0"/>
                </c:manualLayout>
              </c:layout>
              <c:numFmt formatCode="General"/>
            </c:trendlineLbl>
          </c:trendline>
          <c:trendline>
            <c:trendlineType val="linear"/>
            <c:dispEq val="1"/>
            <c:dispRSqr val="1"/>
            <c:trendlineLbl>
              <c:numFmt formatCode="General" sourceLinked="1"/>
            </c:trendlineLbl>
          </c:trendline>
          <c:xVal>
            <c:numRef>
              <c:f>'Kohl 2000'!$Q$13:$Q$18</c:f>
              <c:numCache>
                <c:ptCount val="6"/>
                <c:pt idx="0">
                  <c:v>0</c:v>
                </c:pt>
                <c:pt idx="1">
                  <c:v>0</c:v>
                </c:pt>
                <c:pt idx="2">
                  <c:v>0</c:v>
                </c:pt>
                <c:pt idx="3">
                  <c:v>0</c:v>
                </c:pt>
                <c:pt idx="4">
                  <c:v>0</c:v>
                </c:pt>
                <c:pt idx="5">
                  <c:v>0</c:v>
                </c:pt>
              </c:numCache>
            </c:numRef>
          </c:xVal>
          <c:yVal>
            <c:numRef>
              <c:f>'Kohl 2000'!$S$13:$S$18</c:f>
              <c:numCache>
                <c:ptCount val="6"/>
                <c:pt idx="0">
                  <c:v>0</c:v>
                </c:pt>
                <c:pt idx="1">
                  <c:v>0</c:v>
                </c:pt>
                <c:pt idx="2">
                  <c:v>0</c:v>
                </c:pt>
                <c:pt idx="3">
                  <c:v>0</c:v>
                </c:pt>
                <c:pt idx="4">
                  <c:v>0</c:v>
                </c:pt>
                <c:pt idx="5">
                  <c:v>0</c:v>
                </c:pt>
              </c:numCache>
            </c:numRef>
          </c:y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trendline>
            <c:trendlineType val="linear"/>
            <c:dispEq val="1"/>
            <c:dispRSqr val="1"/>
            <c:trendlineLbl>
              <c:layout>
                <c:manualLayout>
                  <c:x val="0"/>
                  <c:y val="0"/>
                </c:manualLayout>
              </c:layout>
              <c:numFmt formatCode="General"/>
            </c:trendlineLbl>
          </c:trendline>
          <c:xVal>
            <c:numRef>
              <c:f>'Kohl 2000'!$Q$13:$Q$18</c:f>
              <c:numCache>
                <c:ptCount val="6"/>
                <c:pt idx="0">
                  <c:v>0</c:v>
                </c:pt>
                <c:pt idx="1">
                  <c:v>0</c:v>
                </c:pt>
                <c:pt idx="2">
                  <c:v>0</c:v>
                </c:pt>
                <c:pt idx="3">
                  <c:v>0</c:v>
                </c:pt>
                <c:pt idx="4">
                  <c:v>0</c:v>
                </c:pt>
                <c:pt idx="5">
                  <c:v>0</c:v>
                </c:pt>
              </c:numCache>
            </c:numRef>
          </c:xVal>
          <c:yVal>
            <c:numRef>
              <c:f>'Kohl 2000'!$T$13:$T$18</c:f>
              <c:numCache>
                <c:ptCount val="6"/>
                <c:pt idx="0">
                  <c:v>0</c:v>
                </c:pt>
                <c:pt idx="1">
                  <c:v>0</c:v>
                </c:pt>
                <c:pt idx="2">
                  <c:v>0</c:v>
                </c:pt>
                <c:pt idx="3">
                  <c:v>0</c:v>
                </c:pt>
                <c:pt idx="4">
                  <c:v>0</c:v>
                </c:pt>
                <c:pt idx="5">
                  <c:v>0</c:v>
                </c:pt>
              </c:numCache>
            </c:numRef>
          </c:yVal>
          <c:smooth val="0"/>
        </c:ser>
        <c:axId val="30678455"/>
        <c:axId val="7670640"/>
      </c:scatterChart>
      <c:valAx>
        <c:axId val="30678455"/>
        <c:scaling>
          <c:orientation val="minMax"/>
        </c:scaling>
        <c:axPos val="b"/>
        <c:delete val="0"/>
        <c:numFmt formatCode="General" sourceLinked="1"/>
        <c:majorTickMark val="out"/>
        <c:minorTickMark val="none"/>
        <c:tickLblPos val="nextTo"/>
        <c:crossAx val="7670640"/>
        <c:crosses val="autoZero"/>
        <c:crossBetween val="midCat"/>
        <c:dispUnits/>
      </c:valAx>
      <c:valAx>
        <c:axId val="7670640"/>
        <c:scaling>
          <c:orientation val="minMax"/>
        </c:scaling>
        <c:axPos val="l"/>
        <c:majorGridlines/>
        <c:delete val="0"/>
        <c:numFmt formatCode="General" sourceLinked="1"/>
        <c:majorTickMark val="out"/>
        <c:minorTickMark val="none"/>
        <c:tickLblPos val="nextTo"/>
        <c:crossAx val="30678455"/>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'Kohl 2000'!$Q$13:$Q$18</c:f>
              <c:numCache>
                <c:ptCount val="6"/>
                <c:pt idx="0">
                  <c:v>0</c:v>
                </c:pt>
                <c:pt idx="1">
                  <c:v>0</c:v>
                </c:pt>
                <c:pt idx="2">
                  <c:v>0</c:v>
                </c:pt>
                <c:pt idx="3">
                  <c:v>0</c:v>
                </c:pt>
                <c:pt idx="4">
                  <c:v>0</c:v>
                </c:pt>
                <c:pt idx="5">
                  <c:v>0</c:v>
                </c:pt>
              </c:numCache>
            </c:numRef>
          </c:xVal>
          <c:yVal>
            <c:numRef>
              <c:f>'Kohl 2000'!$V$13:$V$18</c:f>
              <c:numCache>
                <c:ptCount val="6"/>
                <c:pt idx="0">
                  <c:v>0</c:v>
                </c:pt>
                <c:pt idx="1">
                  <c:v>0</c:v>
                </c:pt>
                <c:pt idx="2">
                  <c:v>0</c:v>
                </c:pt>
                <c:pt idx="3">
                  <c:v>0</c:v>
                </c:pt>
                <c:pt idx="4">
                  <c:v>0</c:v>
                </c:pt>
                <c:pt idx="5">
                  <c:v>0</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trendline>
            <c:trendlineType val="linear"/>
            <c:dispEq val="1"/>
            <c:dispRSqr val="1"/>
            <c:trendlineLbl>
              <c:numFmt formatCode="General"/>
            </c:trendlineLbl>
          </c:trendline>
          <c:xVal>
            <c:numRef>
              <c:f>'Kohl 2000'!$Q$13:$Q$18</c:f>
              <c:numCache>
                <c:ptCount val="6"/>
                <c:pt idx="0">
                  <c:v>0</c:v>
                </c:pt>
                <c:pt idx="1">
                  <c:v>0</c:v>
                </c:pt>
                <c:pt idx="2">
                  <c:v>0</c:v>
                </c:pt>
                <c:pt idx="3">
                  <c:v>0</c:v>
                </c:pt>
                <c:pt idx="4">
                  <c:v>0</c:v>
                </c:pt>
                <c:pt idx="5">
                  <c:v>0</c:v>
                </c:pt>
              </c:numCache>
            </c:numRef>
          </c:xVal>
          <c:yVal>
            <c:numRef>
              <c:f>'Kohl 2000'!$W$13:$W$18</c:f>
              <c:numCache>
                <c:ptCount val="6"/>
                <c:pt idx="0">
                  <c:v>0</c:v>
                </c:pt>
                <c:pt idx="1">
                  <c:v>0</c:v>
                </c:pt>
                <c:pt idx="2">
                  <c:v>0</c:v>
                </c:pt>
                <c:pt idx="3">
                  <c:v>0</c:v>
                </c:pt>
                <c:pt idx="4">
                  <c:v>0</c:v>
                </c:pt>
                <c:pt idx="5">
                  <c:v>0</c:v>
                </c:pt>
              </c:numCache>
            </c:numRef>
          </c:y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trendline>
            <c:trendlineType val="linear"/>
            <c:dispEq val="1"/>
            <c:dispRSqr val="1"/>
            <c:trendlineLbl>
              <c:layout>
                <c:manualLayout>
                  <c:x val="0"/>
                  <c:y val="0"/>
                </c:manualLayout>
              </c:layout>
              <c:numFmt formatCode="General"/>
            </c:trendlineLbl>
          </c:trendline>
          <c:xVal>
            <c:numRef>
              <c:f>'Kohl 2000'!$Q$13:$Q$18</c:f>
              <c:numCache>
                <c:ptCount val="6"/>
                <c:pt idx="0">
                  <c:v>0</c:v>
                </c:pt>
                <c:pt idx="1">
                  <c:v>0</c:v>
                </c:pt>
                <c:pt idx="2">
                  <c:v>0</c:v>
                </c:pt>
                <c:pt idx="3">
                  <c:v>0</c:v>
                </c:pt>
                <c:pt idx="4">
                  <c:v>0</c:v>
                </c:pt>
                <c:pt idx="5">
                  <c:v>0</c:v>
                </c:pt>
              </c:numCache>
            </c:numRef>
          </c:xVal>
          <c:yVal>
            <c:numRef>
              <c:f>'Kohl 2000'!$X$13:$X$18</c:f>
              <c:numCache>
                <c:ptCount val="6"/>
                <c:pt idx="0">
                  <c:v>0</c:v>
                </c:pt>
                <c:pt idx="1">
                  <c:v>0</c:v>
                </c:pt>
                <c:pt idx="2">
                  <c:v>0</c:v>
                </c:pt>
                <c:pt idx="3">
                  <c:v>0</c:v>
                </c:pt>
                <c:pt idx="4">
                  <c:v>0</c:v>
                </c:pt>
                <c:pt idx="5">
                  <c:v>0</c:v>
                </c:pt>
              </c:numCache>
            </c:numRef>
          </c:yVal>
          <c:smooth val="0"/>
        </c:ser>
        <c:axId val="1926897"/>
        <c:axId val="17342074"/>
      </c:scatterChart>
      <c:valAx>
        <c:axId val="1926897"/>
        <c:scaling>
          <c:orientation val="minMax"/>
        </c:scaling>
        <c:axPos val="b"/>
        <c:delete val="0"/>
        <c:numFmt formatCode="General" sourceLinked="1"/>
        <c:majorTickMark val="out"/>
        <c:minorTickMark val="none"/>
        <c:tickLblPos val="nextTo"/>
        <c:crossAx val="17342074"/>
        <c:crosses val="autoZero"/>
        <c:crossBetween val="midCat"/>
        <c:dispUnits/>
      </c:valAx>
      <c:valAx>
        <c:axId val="17342074"/>
        <c:scaling>
          <c:orientation val="minMax"/>
        </c:scaling>
        <c:axPos val="l"/>
        <c:majorGridlines/>
        <c:delete val="0"/>
        <c:numFmt formatCode="General" sourceLinked="1"/>
        <c:majorTickMark val="out"/>
        <c:minorTickMark val="none"/>
        <c:tickLblPos val="nextTo"/>
        <c:crossAx val="1926897"/>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normal</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'Zhang 1995'!$K$7:$K$16</c:f>
              <c:numCache>
                <c:ptCount val="10"/>
                <c:pt idx="0">
                  <c:v>0</c:v>
                </c:pt>
                <c:pt idx="1">
                  <c:v>0</c:v>
                </c:pt>
                <c:pt idx="2">
                  <c:v>0</c:v>
                </c:pt>
                <c:pt idx="3">
                  <c:v>0</c:v>
                </c:pt>
                <c:pt idx="4">
                  <c:v>0</c:v>
                </c:pt>
                <c:pt idx="5">
                  <c:v>0</c:v>
                </c:pt>
                <c:pt idx="6">
                  <c:v>0</c:v>
                </c:pt>
                <c:pt idx="7">
                  <c:v>0</c:v>
                </c:pt>
                <c:pt idx="8">
                  <c:v>0</c:v>
                </c:pt>
                <c:pt idx="9">
                  <c:v>0</c:v>
                </c:pt>
              </c:numCache>
            </c:numRef>
          </c:xVal>
          <c:yVal>
            <c:numRef>
              <c:f>'Zhang 1995'!$L$7:$L$16</c:f>
              <c:numCache>
                <c:ptCount val="10"/>
                <c:pt idx="0">
                  <c:v>0</c:v>
                </c:pt>
                <c:pt idx="1">
                  <c:v>0</c:v>
                </c:pt>
                <c:pt idx="2">
                  <c:v>0</c:v>
                </c:pt>
                <c:pt idx="3">
                  <c:v>0</c:v>
                </c:pt>
                <c:pt idx="4">
                  <c:v>0</c:v>
                </c:pt>
                <c:pt idx="5">
                  <c:v>0</c:v>
                </c:pt>
                <c:pt idx="6">
                  <c:v>0</c:v>
                </c:pt>
                <c:pt idx="7">
                  <c:v>0</c:v>
                </c:pt>
                <c:pt idx="8">
                  <c:v>0</c:v>
                </c:pt>
                <c:pt idx="9">
                  <c:v>0</c:v>
                </c:pt>
              </c:numCache>
            </c:numRef>
          </c:yVal>
          <c:smooth val="0"/>
        </c:ser>
        <c:axId val="21860939"/>
        <c:axId val="62530724"/>
      </c:scatterChart>
      <c:valAx>
        <c:axId val="21860939"/>
        <c:scaling>
          <c:orientation val="minMax"/>
        </c:scaling>
        <c:axPos val="b"/>
        <c:title>
          <c:tx>
            <c:rich>
              <a:bodyPr vert="horz" rot="0" anchor="ctr"/>
              <a:lstStyle/>
              <a:p>
                <a:pPr algn="ctr">
                  <a:defRPr/>
                </a:pPr>
                <a:r>
                  <a:rPr lang="en-US" cap="none" sz="1000"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62530724"/>
        <c:crosses val="autoZero"/>
        <c:crossBetween val="midCat"/>
        <c:dispUnits/>
      </c:valAx>
      <c:valAx>
        <c:axId val="62530724"/>
        <c:scaling>
          <c:orientation val="minMax"/>
        </c:scaling>
        <c:axPos val="l"/>
        <c:title>
          <c:tx>
            <c:rich>
              <a:bodyPr vert="horz" rot="-5400000" anchor="ctr"/>
              <a:lstStyle/>
              <a:p>
                <a:pPr algn="ctr">
                  <a:defRPr/>
                </a:pPr>
                <a:r>
                  <a:rPr lang="en-US" cap="none" sz="1000" b="1" i="0" u="none" baseline="0">
                    <a:latin typeface="Arial"/>
                    <a:ea typeface="Arial"/>
                    <a:cs typeface="Arial"/>
                  </a:rPr>
                  <a:t>rate</a:t>
                </a:r>
              </a:p>
            </c:rich>
          </c:tx>
          <c:layout/>
          <c:overlay val="0"/>
          <c:spPr>
            <a:noFill/>
            <a:ln>
              <a:noFill/>
            </a:ln>
          </c:spPr>
        </c:title>
        <c:majorGridlines/>
        <c:delete val="0"/>
        <c:numFmt formatCode="General" sourceLinked="1"/>
        <c:majorTickMark val="out"/>
        <c:minorTickMark val="none"/>
        <c:tickLblPos val="nextTo"/>
        <c:crossAx val="21860939"/>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lognormal</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'Zhang 1995'!$K$7:$K$16</c:f>
              <c:numCache>
                <c:ptCount val="10"/>
                <c:pt idx="0">
                  <c:v>0</c:v>
                </c:pt>
                <c:pt idx="1">
                  <c:v>0</c:v>
                </c:pt>
                <c:pt idx="2">
                  <c:v>0</c:v>
                </c:pt>
                <c:pt idx="3">
                  <c:v>0</c:v>
                </c:pt>
                <c:pt idx="4">
                  <c:v>0</c:v>
                </c:pt>
                <c:pt idx="5">
                  <c:v>0</c:v>
                </c:pt>
                <c:pt idx="6">
                  <c:v>0</c:v>
                </c:pt>
                <c:pt idx="7">
                  <c:v>0</c:v>
                </c:pt>
                <c:pt idx="8">
                  <c:v>0</c:v>
                </c:pt>
                <c:pt idx="9">
                  <c:v>0</c:v>
                </c:pt>
              </c:numCache>
            </c:numRef>
          </c:xVal>
          <c:yVal>
            <c:numRef>
              <c:f>'Zhang 1995'!$O$7:$O$16</c:f>
              <c:numCache>
                <c:ptCount val="10"/>
                <c:pt idx="0">
                  <c:v>0</c:v>
                </c:pt>
                <c:pt idx="1">
                  <c:v>0</c:v>
                </c:pt>
                <c:pt idx="2">
                  <c:v>0</c:v>
                </c:pt>
                <c:pt idx="3">
                  <c:v>0</c:v>
                </c:pt>
                <c:pt idx="4">
                  <c:v>0</c:v>
                </c:pt>
                <c:pt idx="5">
                  <c:v>0</c:v>
                </c:pt>
                <c:pt idx="6">
                  <c:v>0</c:v>
                </c:pt>
                <c:pt idx="7">
                  <c:v>0</c:v>
                </c:pt>
                <c:pt idx="8">
                  <c:v>0</c:v>
                </c:pt>
                <c:pt idx="9">
                  <c:v>0</c:v>
                </c:pt>
              </c:numCache>
            </c:numRef>
          </c:yVal>
          <c:smooth val="0"/>
        </c:ser>
        <c:axId val="25905605"/>
        <c:axId val="31823854"/>
      </c:scatterChart>
      <c:valAx>
        <c:axId val="25905605"/>
        <c:scaling>
          <c:orientation val="minMax"/>
        </c:scaling>
        <c:axPos val="b"/>
        <c:title>
          <c:tx>
            <c:rich>
              <a:bodyPr vert="horz" rot="0" anchor="ctr"/>
              <a:lstStyle/>
              <a:p>
                <a:pPr algn="ctr">
                  <a:defRPr/>
                </a:pPr>
                <a:r>
                  <a:rPr lang="en-US" cap="none" sz="1000"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31823854"/>
        <c:crosses val="autoZero"/>
        <c:crossBetween val="midCat"/>
        <c:dispUnits/>
      </c:valAx>
      <c:valAx>
        <c:axId val="31823854"/>
        <c:scaling>
          <c:orientation val="minMax"/>
        </c:scaling>
        <c:axPos val="l"/>
        <c:title>
          <c:tx>
            <c:rich>
              <a:bodyPr vert="horz" rot="-5400000" anchor="ctr"/>
              <a:lstStyle/>
              <a:p>
                <a:pPr algn="ctr">
                  <a:defRPr/>
                </a:pPr>
                <a:r>
                  <a:rPr lang="en-US" cap="none" sz="1000" b="1" i="0" u="none" baseline="0">
                    <a:latin typeface="Arial"/>
                    <a:ea typeface="Arial"/>
                    <a:cs typeface="Arial"/>
                  </a:rPr>
                  <a:t>log rate</a:t>
                </a:r>
              </a:p>
            </c:rich>
          </c:tx>
          <c:layout/>
          <c:overlay val="0"/>
          <c:spPr>
            <a:noFill/>
            <a:ln>
              <a:noFill/>
            </a:ln>
          </c:spPr>
        </c:title>
        <c:majorGridlines/>
        <c:delete val="0"/>
        <c:numFmt formatCode="General" sourceLinked="1"/>
        <c:majorTickMark val="out"/>
        <c:minorTickMark val="none"/>
        <c:tickLblPos val="nextTo"/>
        <c:crossAx val="25905605"/>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normal</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'kobayashi 1998'!$M$12:$M$16</c:f>
              <c:numCache>
                <c:ptCount val="5"/>
                <c:pt idx="0">
                  <c:v>0</c:v>
                </c:pt>
                <c:pt idx="1">
                  <c:v>0</c:v>
                </c:pt>
                <c:pt idx="2">
                  <c:v>0</c:v>
                </c:pt>
                <c:pt idx="3">
                  <c:v>0</c:v>
                </c:pt>
                <c:pt idx="4">
                  <c:v>0</c:v>
                </c:pt>
              </c:numCache>
            </c:numRef>
          </c:xVal>
          <c:yVal>
            <c:numRef>
              <c:f>'kobayashi 1998'!$N$12:$N$16</c:f>
              <c:numCache>
                <c:ptCount val="5"/>
                <c:pt idx="0">
                  <c:v>0</c:v>
                </c:pt>
                <c:pt idx="1">
                  <c:v>0</c:v>
                </c:pt>
                <c:pt idx="2">
                  <c:v>0</c:v>
                </c:pt>
                <c:pt idx="3">
                  <c:v>0</c:v>
                </c:pt>
                <c:pt idx="4">
                  <c:v>0</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trendline>
            <c:trendlineType val="linear"/>
            <c:dispEq val="1"/>
            <c:dispRSqr val="1"/>
            <c:trendlineLbl>
              <c:layout>
                <c:manualLayout>
                  <c:x val="0"/>
                  <c:y val="0"/>
                </c:manualLayout>
              </c:layout>
              <c:numFmt formatCode="General"/>
            </c:trendlineLbl>
          </c:trendline>
          <c:xVal>
            <c:numRef>
              <c:f>'kobayashi 1998'!$M$12:$M$16</c:f>
              <c:numCache>
                <c:ptCount val="5"/>
                <c:pt idx="0">
                  <c:v>0</c:v>
                </c:pt>
                <c:pt idx="1">
                  <c:v>0</c:v>
                </c:pt>
                <c:pt idx="2">
                  <c:v>0</c:v>
                </c:pt>
                <c:pt idx="3">
                  <c:v>0</c:v>
                </c:pt>
                <c:pt idx="4">
                  <c:v>0</c:v>
                </c:pt>
              </c:numCache>
            </c:numRef>
          </c:xVal>
          <c:yVal>
            <c:numRef>
              <c:f>'kobayashi 1998'!$O$12:$O$16</c:f>
              <c:numCache>
                <c:ptCount val="5"/>
                <c:pt idx="0">
                  <c:v>0</c:v>
                </c:pt>
                <c:pt idx="1">
                  <c:v>0</c:v>
                </c:pt>
                <c:pt idx="2">
                  <c:v>0</c:v>
                </c:pt>
                <c:pt idx="3">
                  <c:v>0</c:v>
                </c:pt>
                <c:pt idx="4">
                  <c:v>0</c:v>
                </c:pt>
              </c:numCache>
            </c:numRef>
          </c:y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trendline>
            <c:trendlineType val="linear"/>
            <c:dispEq val="1"/>
            <c:dispRSqr val="1"/>
            <c:trendlineLbl>
              <c:layout>
                <c:manualLayout>
                  <c:x val="0"/>
                  <c:y val="0"/>
                </c:manualLayout>
              </c:layout>
              <c:numFmt formatCode="General"/>
            </c:trendlineLbl>
          </c:trendline>
          <c:xVal>
            <c:numRef>
              <c:f>'kobayashi 1998'!$M$12:$M$16</c:f>
              <c:numCache>
                <c:ptCount val="5"/>
                <c:pt idx="0">
                  <c:v>0</c:v>
                </c:pt>
                <c:pt idx="1">
                  <c:v>0</c:v>
                </c:pt>
                <c:pt idx="2">
                  <c:v>0</c:v>
                </c:pt>
                <c:pt idx="3">
                  <c:v>0</c:v>
                </c:pt>
                <c:pt idx="4">
                  <c:v>0</c:v>
                </c:pt>
              </c:numCache>
            </c:numRef>
          </c:xVal>
          <c:yVal>
            <c:numRef>
              <c:f>'kobayashi 1998'!$P$12:$P$16</c:f>
              <c:numCache>
                <c:ptCount val="5"/>
                <c:pt idx="0">
                  <c:v>0</c:v>
                </c:pt>
                <c:pt idx="1">
                  <c:v>0</c:v>
                </c:pt>
                <c:pt idx="2">
                  <c:v>0</c:v>
                </c:pt>
                <c:pt idx="3">
                  <c:v>0</c:v>
                </c:pt>
                <c:pt idx="4">
                  <c:v>0</c:v>
                </c:pt>
              </c:numCache>
            </c:numRef>
          </c:yVal>
          <c:smooth val="0"/>
        </c:ser>
        <c:axId val="17979231"/>
        <c:axId val="27595352"/>
      </c:scatterChart>
      <c:valAx>
        <c:axId val="17979231"/>
        <c:scaling>
          <c:orientation val="minMax"/>
        </c:scaling>
        <c:axPos val="b"/>
        <c:title>
          <c:tx>
            <c:rich>
              <a:bodyPr vert="horz" rot="0" anchor="ctr"/>
              <a:lstStyle/>
              <a:p>
                <a:pPr algn="ctr">
                  <a:defRPr/>
                </a:pPr>
                <a:r>
                  <a:rPr lang="en-US" cap="none" sz="1000"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27595352"/>
        <c:crosses val="autoZero"/>
        <c:crossBetween val="midCat"/>
        <c:dispUnits/>
      </c:valAx>
      <c:valAx>
        <c:axId val="27595352"/>
        <c:scaling>
          <c:orientation val="minMax"/>
        </c:scaling>
        <c:axPos val="l"/>
        <c:majorGridlines/>
        <c:delete val="0"/>
        <c:numFmt formatCode="General" sourceLinked="1"/>
        <c:majorTickMark val="out"/>
        <c:minorTickMark val="none"/>
        <c:tickLblPos val="nextTo"/>
        <c:crossAx val="17979231"/>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log Vmax</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'Wandel 1998 '!$S$13:$S$28</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xVal>
          <c:yVal>
            <c:numRef>
              <c:f>'Wandel 1998 '!$U$13:$U$28</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yVal>
          <c:smooth val="0"/>
        </c:ser>
        <c:axId val="12598705"/>
        <c:axId val="46279482"/>
      </c:scatterChart>
      <c:valAx>
        <c:axId val="12598705"/>
        <c:scaling>
          <c:orientation val="minMax"/>
        </c:scaling>
        <c:axPos val="b"/>
        <c:title>
          <c:tx>
            <c:rich>
              <a:bodyPr vert="horz" rot="0" anchor="ctr"/>
              <a:lstStyle/>
              <a:p>
                <a:pPr algn="ctr">
                  <a:defRPr/>
                </a:pPr>
                <a:r>
                  <a:rPr lang="en-US" cap="none" sz="1000" b="1" i="0" u="none" baseline="0">
                    <a:latin typeface="Arial"/>
                    <a:ea typeface="Arial"/>
                    <a:cs typeface="Arial"/>
                  </a:rPr>
                  <a:t>Z Scor</a:t>
                </a:r>
              </a:p>
            </c:rich>
          </c:tx>
          <c:layout/>
          <c:overlay val="0"/>
          <c:spPr>
            <a:noFill/>
            <a:ln>
              <a:noFill/>
            </a:ln>
          </c:spPr>
        </c:title>
        <c:delete val="0"/>
        <c:numFmt formatCode="General" sourceLinked="1"/>
        <c:majorTickMark val="out"/>
        <c:minorTickMark val="none"/>
        <c:tickLblPos val="nextTo"/>
        <c:crossAx val="46279482"/>
        <c:crosses val="autoZero"/>
        <c:crossBetween val="midCat"/>
        <c:dispUnits/>
      </c:valAx>
      <c:valAx>
        <c:axId val="46279482"/>
        <c:scaling>
          <c:orientation val="minMax"/>
        </c:scaling>
        <c:axPos val="l"/>
        <c:title>
          <c:tx>
            <c:rich>
              <a:bodyPr vert="horz" rot="-5400000" anchor="ctr"/>
              <a:lstStyle/>
              <a:p>
                <a:pPr algn="ctr">
                  <a:defRPr/>
                </a:pPr>
                <a:r>
                  <a:rPr lang="en-US" cap="none" sz="1000" b="1" i="0" u="none" baseline="0">
                    <a:latin typeface="Arial"/>
                    <a:ea typeface="Arial"/>
                    <a:cs typeface="Arial"/>
                  </a:rPr>
                  <a:t>log Vmax</a:t>
                </a:r>
              </a:p>
            </c:rich>
          </c:tx>
          <c:layout/>
          <c:overlay val="0"/>
          <c:spPr>
            <a:noFill/>
            <a:ln>
              <a:noFill/>
            </a:ln>
          </c:spPr>
        </c:title>
        <c:majorGridlines/>
        <c:delete val="0"/>
        <c:numFmt formatCode="General" sourceLinked="1"/>
        <c:majorTickMark val="out"/>
        <c:minorTickMark val="none"/>
        <c:tickLblPos val="nextTo"/>
        <c:crossAx val="12598705"/>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lognormal</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numFmt formatCode="General"/>
            </c:trendlineLbl>
          </c:trendline>
          <c:xVal>
            <c:numRef>
              <c:f>'kobayashi 1998'!$M$12:$M$16</c:f>
              <c:numCache>
                <c:ptCount val="5"/>
                <c:pt idx="0">
                  <c:v>0</c:v>
                </c:pt>
                <c:pt idx="1">
                  <c:v>0</c:v>
                </c:pt>
                <c:pt idx="2">
                  <c:v>0</c:v>
                </c:pt>
                <c:pt idx="3">
                  <c:v>0</c:v>
                </c:pt>
                <c:pt idx="4">
                  <c:v>0</c:v>
                </c:pt>
              </c:numCache>
            </c:numRef>
          </c:xVal>
          <c:yVal>
            <c:numRef>
              <c:f>'kobayashi 1998'!$R$12:$R$16</c:f>
              <c:numCache>
                <c:ptCount val="5"/>
                <c:pt idx="0">
                  <c:v>0</c:v>
                </c:pt>
                <c:pt idx="1">
                  <c:v>0</c:v>
                </c:pt>
                <c:pt idx="2">
                  <c:v>0</c:v>
                </c:pt>
                <c:pt idx="3">
                  <c:v>0</c:v>
                </c:pt>
                <c:pt idx="4">
                  <c:v>0</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trendline>
            <c:trendlineType val="linear"/>
            <c:dispEq val="1"/>
            <c:dispRSqr val="1"/>
            <c:trendlineLbl>
              <c:layout>
                <c:manualLayout>
                  <c:x val="0"/>
                  <c:y val="0"/>
                </c:manualLayout>
              </c:layout>
              <c:numFmt formatCode="General"/>
            </c:trendlineLbl>
          </c:trendline>
          <c:xVal>
            <c:numRef>
              <c:f>'kobayashi 1998'!$M$12:$M$16</c:f>
              <c:numCache>
                <c:ptCount val="5"/>
                <c:pt idx="0">
                  <c:v>0</c:v>
                </c:pt>
                <c:pt idx="1">
                  <c:v>0</c:v>
                </c:pt>
                <c:pt idx="2">
                  <c:v>0</c:v>
                </c:pt>
                <c:pt idx="3">
                  <c:v>0</c:v>
                </c:pt>
                <c:pt idx="4">
                  <c:v>0</c:v>
                </c:pt>
              </c:numCache>
            </c:numRef>
          </c:xVal>
          <c:yVal>
            <c:numRef>
              <c:f>'kobayashi 1998'!$S$12:$S$16</c:f>
              <c:numCache>
                <c:ptCount val="5"/>
                <c:pt idx="0">
                  <c:v>0</c:v>
                </c:pt>
                <c:pt idx="1">
                  <c:v>0</c:v>
                </c:pt>
                <c:pt idx="2">
                  <c:v>0</c:v>
                </c:pt>
                <c:pt idx="3">
                  <c:v>0</c:v>
                </c:pt>
                <c:pt idx="4">
                  <c:v>0</c:v>
                </c:pt>
              </c:numCache>
            </c:numRef>
          </c:y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trendline>
            <c:trendlineType val="linear"/>
            <c:dispEq val="1"/>
            <c:dispRSqr val="1"/>
            <c:trendlineLbl>
              <c:layout>
                <c:manualLayout>
                  <c:x val="0"/>
                  <c:y val="0"/>
                </c:manualLayout>
              </c:layout>
              <c:numFmt formatCode="General"/>
            </c:trendlineLbl>
          </c:trendline>
          <c:xVal>
            <c:numRef>
              <c:f>'kobayashi 1998'!$M$12:$M$16</c:f>
              <c:numCache>
                <c:ptCount val="5"/>
                <c:pt idx="0">
                  <c:v>0</c:v>
                </c:pt>
                <c:pt idx="1">
                  <c:v>0</c:v>
                </c:pt>
                <c:pt idx="2">
                  <c:v>0</c:v>
                </c:pt>
                <c:pt idx="3">
                  <c:v>0</c:v>
                </c:pt>
                <c:pt idx="4">
                  <c:v>0</c:v>
                </c:pt>
              </c:numCache>
            </c:numRef>
          </c:xVal>
          <c:yVal>
            <c:numRef>
              <c:f>'kobayashi 1998'!$T$12:$T$16</c:f>
              <c:numCache>
                <c:ptCount val="5"/>
                <c:pt idx="0">
                  <c:v>0</c:v>
                </c:pt>
                <c:pt idx="1">
                  <c:v>0</c:v>
                </c:pt>
                <c:pt idx="2">
                  <c:v>0</c:v>
                </c:pt>
                <c:pt idx="3">
                  <c:v>0</c:v>
                </c:pt>
                <c:pt idx="4">
                  <c:v>0</c:v>
                </c:pt>
              </c:numCache>
            </c:numRef>
          </c:yVal>
          <c:smooth val="0"/>
        </c:ser>
        <c:axId val="47031577"/>
        <c:axId val="20631010"/>
      </c:scatterChart>
      <c:valAx>
        <c:axId val="47031577"/>
        <c:scaling>
          <c:orientation val="minMax"/>
        </c:scaling>
        <c:axPos val="b"/>
        <c:title>
          <c:tx>
            <c:rich>
              <a:bodyPr vert="horz" rot="0" anchor="ctr"/>
              <a:lstStyle/>
              <a:p>
                <a:pPr algn="ctr">
                  <a:defRPr/>
                </a:pPr>
                <a:r>
                  <a:rPr lang="en-US" cap="none" sz="1000"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20631010"/>
        <c:crosses val="autoZero"/>
        <c:crossBetween val="midCat"/>
        <c:dispUnits/>
      </c:valAx>
      <c:valAx>
        <c:axId val="20631010"/>
        <c:scaling>
          <c:orientation val="minMax"/>
        </c:scaling>
        <c:axPos val="l"/>
        <c:majorGridlines/>
        <c:delete val="0"/>
        <c:numFmt formatCode="General" sourceLinked="1"/>
        <c:majorTickMark val="out"/>
        <c:minorTickMark val="none"/>
        <c:tickLblPos val="nextTo"/>
        <c:crossAx val="47031577"/>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normal</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'Yasui-Furukori 2001'!$P$14:$P$19</c:f>
              <c:numCache>
                <c:ptCount val="6"/>
                <c:pt idx="0">
                  <c:v>0</c:v>
                </c:pt>
                <c:pt idx="1">
                  <c:v>0</c:v>
                </c:pt>
                <c:pt idx="2">
                  <c:v>0</c:v>
                </c:pt>
                <c:pt idx="3">
                  <c:v>0</c:v>
                </c:pt>
                <c:pt idx="4">
                  <c:v>0</c:v>
                </c:pt>
                <c:pt idx="5">
                  <c:v>0</c:v>
                </c:pt>
              </c:numCache>
            </c:numRef>
          </c:xVal>
          <c:yVal>
            <c:numRef>
              <c:f>'Yasui-Furukori 2001'!$Q$14:$Q$19</c:f>
              <c:numCache>
                <c:ptCount val="6"/>
                <c:pt idx="0">
                  <c:v>0</c:v>
                </c:pt>
                <c:pt idx="1">
                  <c:v>0</c:v>
                </c:pt>
                <c:pt idx="2">
                  <c:v>0</c:v>
                </c:pt>
                <c:pt idx="3">
                  <c:v>0</c:v>
                </c:pt>
                <c:pt idx="4">
                  <c:v>0</c:v>
                </c:pt>
                <c:pt idx="5">
                  <c:v>0</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trendline>
            <c:trendlineType val="linear"/>
            <c:dispEq val="1"/>
            <c:dispRSqr val="1"/>
            <c:trendlineLbl>
              <c:numFmt formatCode="General"/>
            </c:trendlineLbl>
          </c:trendline>
          <c:xVal>
            <c:numRef>
              <c:f>'Yasui-Furukori 2001'!$P$14:$P$19</c:f>
              <c:numCache>
                <c:ptCount val="6"/>
                <c:pt idx="0">
                  <c:v>0</c:v>
                </c:pt>
                <c:pt idx="1">
                  <c:v>0</c:v>
                </c:pt>
                <c:pt idx="2">
                  <c:v>0</c:v>
                </c:pt>
                <c:pt idx="3">
                  <c:v>0</c:v>
                </c:pt>
                <c:pt idx="4">
                  <c:v>0</c:v>
                </c:pt>
                <c:pt idx="5">
                  <c:v>0</c:v>
                </c:pt>
              </c:numCache>
            </c:numRef>
          </c:xVal>
          <c:yVal>
            <c:numRef>
              <c:f>'Yasui-Furukori 2001'!$R$14:$R$19</c:f>
              <c:numCache>
                <c:ptCount val="6"/>
                <c:pt idx="0">
                  <c:v>0</c:v>
                </c:pt>
                <c:pt idx="1">
                  <c:v>0</c:v>
                </c:pt>
                <c:pt idx="2">
                  <c:v>0</c:v>
                </c:pt>
                <c:pt idx="3">
                  <c:v>0</c:v>
                </c:pt>
                <c:pt idx="4">
                  <c:v>0</c:v>
                </c:pt>
                <c:pt idx="5">
                  <c:v>0</c:v>
                </c:pt>
              </c:numCache>
            </c:numRef>
          </c:y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trendline>
            <c:trendlineType val="linear"/>
            <c:dispEq val="1"/>
            <c:dispRSqr val="1"/>
            <c:trendlineLbl>
              <c:layout>
                <c:manualLayout>
                  <c:x val="0"/>
                  <c:y val="0"/>
                </c:manualLayout>
              </c:layout>
              <c:numFmt formatCode="General"/>
            </c:trendlineLbl>
          </c:trendline>
          <c:xVal>
            <c:numRef>
              <c:f>'Yasui-Furukori 2001'!$P$14:$P$19</c:f>
              <c:numCache>
                <c:ptCount val="6"/>
                <c:pt idx="0">
                  <c:v>0</c:v>
                </c:pt>
                <c:pt idx="1">
                  <c:v>0</c:v>
                </c:pt>
                <c:pt idx="2">
                  <c:v>0</c:v>
                </c:pt>
                <c:pt idx="3">
                  <c:v>0</c:v>
                </c:pt>
                <c:pt idx="4">
                  <c:v>0</c:v>
                </c:pt>
                <c:pt idx="5">
                  <c:v>0</c:v>
                </c:pt>
              </c:numCache>
            </c:numRef>
          </c:xVal>
          <c:yVal>
            <c:numRef>
              <c:f>'Yasui-Furukori 2001'!$S$14:$S$19</c:f>
              <c:numCache>
                <c:ptCount val="6"/>
                <c:pt idx="0">
                  <c:v>0</c:v>
                </c:pt>
                <c:pt idx="1">
                  <c:v>0</c:v>
                </c:pt>
                <c:pt idx="2">
                  <c:v>0</c:v>
                </c:pt>
                <c:pt idx="3">
                  <c:v>0</c:v>
                </c:pt>
                <c:pt idx="4">
                  <c:v>0</c:v>
                </c:pt>
                <c:pt idx="5">
                  <c:v>0</c:v>
                </c:pt>
              </c:numCache>
            </c:numRef>
          </c:yVal>
          <c:smooth val="0"/>
        </c:ser>
        <c:axId val="51461363"/>
        <c:axId val="60499084"/>
      </c:scatterChart>
      <c:valAx>
        <c:axId val="51461363"/>
        <c:scaling>
          <c:orientation val="minMax"/>
        </c:scaling>
        <c:axPos val="b"/>
        <c:delete val="0"/>
        <c:numFmt formatCode="General" sourceLinked="1"/>
        <c:majorTickMark val="out"/>
        <c:minorTickMark val="none"/>
        <c:tickLblPos val="nextTo"/>
        <c:crossAx val="60499084"/>
        <c:crosses val="autoZero"/>
        <c:crossBetween val="midCat"/>
        <c:dispUnits/>
      </c:valAx>
      <c:valAx>
        <c:axId val="60499084"/>
        <c:scaling>
          <c:orientation val="minMax"/>
        </c:scaling>
        <c:axPos val="l"/>
        <c:majorGridlines/>
        <c:delete val="0"/>
        <c:numFmt formatCode="General" sourceLinked="1"/>
        <c:majorTickMark val="out"/>
        <c:minorTickMark val="none"/>
        <c:tickLblPos val="nextTo"/>
        <c:crossAx val="51461363"/>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lognormal</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'Yasui-Furukori 2001'!$P$14:$P$19</c:f>
              <c:numCache>
                <c:ptCount val="6"/>
                <c:pt idx="0">
                  <c:v>0</c:v>
                </c:pt>
                <c:pt idx="1">
                  <c:v>0</c:v>
                </c:pt>
                <c:pt idx="2">
                  <c:v>0</c:v>
                </c:pt>
                <c:pt idx="3">
                  <c:v>0</c:v>
                </c:pt>
                <c:pt idx="4">
                  <c:v>0</c:v>
                </c:pt>
                <c:pt idx="5">
                  <c:v>0</c:v>
                </c:pt>
              </c:numCache>
            </c:numRef>
          </c:xVal>
          <c:yVal>
            <c:numRef>
              <c:f>'Yasui-Furukori 2001'!$U$14:$U$19</c:f>
              <c:numCache>
                <c:ptCount val="6"/>
                <c:pt idx="0">
                  <c:v>0</c:v>
                </c:pt>
                <c:pt idx="1">
                  <c:v>0</c:v>
                </c:pt>
                <c:pt idx="2">
                  <c:v>0</c:v>
                </c:pt>
                <c:pt idx="3">
                  <c:v>0</c:v>
                </c:pt>
                <c:pt idx="4">
                  <c:v>0</c:v>
                </c:pt>
                <c:pt idx="5">
                  <c:v>0</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trendline>
            <c:trendlineType val="linear"/>
            <c:dispEq val="1"/>
            <c:dispRSqr val="1"/>
            <c:trendlineLbl>
              <c:layout>
                <c:manualLayout>
                  <c:x val="0"/>
                  <c:y val="0"/>
                </c:manualLayout>
              </c:layout>
              <c:numFmt formatCode="General"/>
            </c:trendlineLbl>
          </c:trendline>
          <c:xVal>
            <c:numRef>
              <c:f>'Yasui-Furukori 2001'!$P$14:$P$19</c:f>
              <c:numCache>
                <c:ptCount val="6"/>
                <c:pt idx="0">
                  <c:v>0</c:v>
                </c:pt>
                <c:pt idx="1">
                  <c:v>0</c:v>
                </c:pt>
                <c:pt idx="2">
                  <c:v>0</c:v>
                </c:pt>
                <c:pt idx="3">
                  <c:v>0</c:v>
                </c:pt>
                <c:pt idx="4">
                  <c:v>0</c:v>
                </c:pt>
                <c:pt idx="5">
                  <c:v>0</c:v>
                </c:pt>
              </c:numCache>
            </c:numRef>
          </c:xVal>
          <c:yVal>
            <c:numRef>
              <c:f>'Yasui-Furukori 2001'!$V$14:$V$19</c:f>
              <c:numCache>
                <c:ptCount val="6"/>
                <c:pt idx="0">
                  <c:v>0</c:v>
                </c:pt>
                <c:pt idx="1">
                  <c:v>0</c:v>
                </c:pt>
                <c:pt idx="2">
                  <c:v>0</c:v>
                </c:pt>
                <c:pt idx="3">
                  <c:v>0</c:v>
                </c:pt>
                <c:pt idx="4">
                  <c:v>0</c:v>
                </c:pt>
                <c:pt idx="5">
                  <c:v>0</c:v>
                </c:pt>
              </c:numCache>
            </c:numRef>
          </c:y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trendline>
            <c:trendlineType val="linear"/>
            <c:dispEq val="1"/>
            <c:dispRSqr val="1"/>
            <c:trendlineLbl>
              <c:layout>
                <c:manualLayout>
                  <c:x val="0"/>
                  <c:y val="0"/>
                </c:manualLayout>
              </c:layout>
              <c:numFmt formatCode="General"/>
            </c:trendlineLbl>
          </c:trendline>
          <c:xVal>
            <c:numRef>
              <c:f>'Yasui-Furukori 2001'!$P$14:$P$19</c:f>
              <c:numCache>
                <c:ptCount val="6"/>
                <c:pt idx="0">
                  <c:v>0</c:v>
                </c:pt>
                <c:pt idx="1">
                  <c:v>0</c:v>
                </c:pt>
                <c:pt idx="2">
                  <c:v>0</c:v>
                </c:pt>
                <c:pt idx="3">
                  <c:v>0</c:v>
                </c:pt>
                <c:pt idx="4">
                  <c:v>0</c:v>
                </c:pt>
                <c:pt idx="5">
                  <c:v>0</c:v>
                </c:pt>
              </c:numCache>
            </c:numRef>
          </c:xVal>
          <c:yVal>
            <c:numRef>
              <c:f>'Yasui-Furukori 2001'!$W$14:$W$19</c:f>
              <c:numCache>
                <c:ptCount val="6"/>
                <c:pt idx="0">
                  <c:v>0</c:v>
                </c:pt>
                <c:pt idx="1">
                  <c:v>0</c:v>
                </c:pt>
                <c:pt idx="2">
                  <c:v>0</c:v>
                </c:pt>
                <c:pt idx="3">
                  <c:v>0</c:v>
                </c:pt>
                <c:pt idx="4">
                  <c:v>0</c:v>
                </c:pt>
                <c:pt idx="5">
                  <c:v>0</c:v>
                </c:pt>
              </c:numCache>
            </c:numRef>
          </c:yVal>
          <c:smooth val="0"/>
        </c:ser>
        <c:axId val="7620845"/>
        <c:axId val="1478742"/>
      </c:scatterChart>
      <c:valAx>
        <c:axId val="7620845"/>
        <c:scaling>
          <c:orientation val="minMax"/>
        </c:scaling>
        <c:axPos val="b"/>
        <c:delete val="0"/>
        <c:numFmt formatCode="General" sourceLinked="1"/>
        <c:majorTickMark val="out"/>
        <c:minorTickMark val="none"/>
        <c:tickLblPos val="nextTo"/>
        <c:crossAx val="1478742"/>
        <c:crosses val="autoZero"/>
        <c:crossBetween val="midCat"/>
        <c:dispUnits/>
      </c:valAx>
      <c:valAx>
        <c:axId val="1478742"/>
        <c:scaling>
          <c:orientation val="minMax"/>
        </c:scaling>
        <c:axPos val="l"/>
        <c:majorGridlines/>
        <c:delete val="0"/>
        <c:numFmt formatCode="General" sourceLinked="1"/>
        <c:majorTickMark val="out"/>
        <c:minorTickMark val="none"/>
        <c:tickLblPos val="nextTo"/>
        <c:crossAx val="7620845"/>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normal</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numFmt formatCode="General"/>
            </c:trendlineLbl>
          </c:trendline>
          <c:xVal>
            <c:numRef>
              <c:f>'grace 1998'!$N$14:$N$21</c:f>
              <c:numCache>
                <c:ptCount val="8"/>
                <c:pt idx="0">
                  <c:v>0</c:v>
                </c:pt>
                <c:pt idx="1">
                  <c:v>0</c:v>
                </c:pt>
                <c:pt idx="2">
                  <c:v>0</c:v>
                </c:pt>
                <c:pt idx="3">
                  <c:v>0</c:v>
                </c:pt>
                <c:pt idx="4">
                  <c:v>0</c:v>
                </c:pt>
                <c:pt idx="5">
                  <c:v>0</c:v>
                </c:pt>
                <c:pt idx="6">
                  <c:v>0</c:v>
                </c:pt>
                <c:pt idx="7">
                  <c:v>0</c:v>
                </c:pt>
              </c:numCache>
            </c:numRef>
          </c:xVal>
          <c:yVal>
            <c:numRef>
              <c:f>'grace 1998'!$P$14:$P$21</c:f>
              <c:numCache>
                <c:ptCount val="8"/>
                <c:pt idx="0">
                  <c:v>0</c:v>
                </c:pt>
                <c:pt idx="1">
                  <c:v>0</c:v>
                </c:pt>
                <c:pt idx="2">
                  <c:v>0</c:v>
                </c:pt>
                <c:pt idx="3">
                  <c:v>0</c:v>
                </c:pt>
                <c:pt idx="4">
                  <c:v>0</c:v>
                </c:pt>
                <c:pt idx="5">
                  <c:v>0</c:v>
                </c:pt>
                <c:pt idx="6">
                  <c:v>0</c:v>
                </c:pt>
                <c:pt idx="7">
                  <c:v>0</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trendline>
            <c:trendlineType val="linear"/>
            <c:dispEq val="1"/>
            <c:dispRSqr val="1"/>
            <c:trendlineLbl>
              <c:layout>
                <c:manualLayout>
                  <c:x val="0"/>
                  <c:y val="0"/>
                </c:manualLayout>
              </c:layout>
              <c:numFmt formatCode="General"/>
            </c:trendlineLbl>
          </c:trendline>
          <c:xVal>
            <c:numRef>
              <c:f>'grace 1998'!$N$14:$N$21</c:f>
              <c:numCache>
                <c:ptCount val="8"/>
                <c:pt idx="0">
                  <c:v>0</c:v>
                </c:pt>
                <c:pt idx="1">
                  <c:v>0</c:v>
                </c:pt>
                <c:pt idx="2">
                  <c:v>0</c:v>
                </c:pt>
                <c:pt idx="3">
                  <c:v>0</c:v>
                </c:pt>
                <c:pt idx="4">
                  <c:v>0</c:v>
                </c:pt>
                <c:pt idx="5">
                  <c:v>0</c:v>
                </c:pt>
                <c:pt idx="6">
                  <c:v>0</c:v>
                </c:pt>
                <c:pt idx="7">
                  <c:v>0</c:v>
                </c:pt>
              </c:numCache>
            </c:numRef>
          </c:xVal>
          <c:yVal>
            <c:numRef>
              <c:f>'grace 1998'!$Q$14:$Q$21</c:f>
              <c:numCache>
                <c:ptCount val="8"/>
                <c:pt idx="0">
                  <c:v>0</c:v>
                </c:pt>
                <c:pt idx="1">
                  <c:v>0</c:v>
                </c:pt>
                <c:pt idx="2">
                  <c:v>0</c:v>
                </c:pt>
                <c:pt idx="3">
                  <c:v>0</c:v>
                </c:pt>
                <c:pt idx="4">
                  <c:v>0</c:v>
                </c:pt>
                <c:pt idx="5">
                  <c:v>0</c:v>
                </c:pt>
                <c:pt idx="6">
                  <c:v>0</c:v>
                </c:pt>
                <c:pt idx="7">
                  <c:v>0</c:v>
                </c:pt>
              </c:numCache>
            </c:numRef>
          </c:y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trendline>
            <c:trendlineType val="linear"/>
            <c:dispEq val="1"/>
            <c:dispRSqr val="1"/>
            <c:trendlineLbl>
              <c:layout>
                <c:manualLayout>
                  <c:x val="0"/>
                  <c:y val="0"/>
                </c:manualLayout>
              </c:layout>
              <c:numFmt formatCode="General"/>
            </c:trendlineLbl>
          </c:trendline>
          <c:xVal>
            <c:numRef>
              <c:f>'grace 1998'!$N$14:$N$21</c:f>
              <c:numCache>
                <c:ptCount val="8"/>
                <c:pt idx="0">
                  <c:v>0</c:v>
                </c:pt>
                <c:pt idx="1">
                  <c:v>0</c:v>
                </c:pt>
                <c:pt idx="2">
                  <c:v>0</c:v>
                </c:pt>
                <c:pt idx="3">
                  <c:v>0</c:v>
                </c:pt>
                <c:pt idx="4">
                  <c:v>0</c:v>
                </c:pt>
                <c:pt idx="5">
                  <c:v>0</c:v>
                </c:pt>
                <c:pt idx="6">
                  <c:v>0</c:v>
                </c:pt>
                <c:pt idx="7">
                  <c:v>0</c:v>
                </c:pt>
              </c:numCache>
            </c:numRef>
          </c:xVal>
          <c:yVal>
            <c:numRef>
              <c:f>'grace 1998'!$R$14:$R$21</c:f>
              <c:numCache>
                <c:ptCount val="8"/>
                <c:pt idx="0">
                  <c:v>0</c:v>
                </c:pt>
                <c:pt idx="1">
                  <c:v>0</c:v>
                </c:pt>
                <c:pt idx="2">
                  <c:v>0</c:v>
                </c:pt>
                <c:pt idx="3">
                  <c:v>0</c:v>
                </c:pt>
                <c:pt idx="4">
                  <c:v>0</c:v>
                </c:pt>
                <c:pt idx="5">
                  <c:v>0</c:v>
                </c:pt>
                <c:pt idx="6">
                  <c:v>0</c:v>
                </c:pt>
                <c:pt idx="7">
                  <c:v>0</c:v>
                </c:pt>
              </c:numCache>
            </c:numRef>
          </c:yVal>
          <c:smooth val="0"/>
        </c:ser>
        <c:axId val="13308679"/>
        <c:axId val="52669248"/>
      </c:scatterChart>
      <c:valAx>
        <c:axId val="13308679"/>
        <c:scaling>
          <c:orientation val="minMax"/>
        </c:scaling>
        <c:axPos val="b"/>
        <c:delete val="0"/>
        <c:numFmt formatCode="General" sourceLinked="1"/>
        <c:majorTickMark val="out"/>
        <c:minorTickMark val="none"/>
        <c:tickLblPos val="nextTo"/>
        <c:crossAx val="52669248"/>
        <c:crosses val="autoZero"/>
        <c:crossBetween val="midCat"/>
        <c:dispUnits/>
      </c:valAx>
      <c:valAx>
        <c:axId val="52669248"/>
        <c:scaling>
          <c:orientation val="minMax"/>
        </c:scaling>
        <c:axPos val="l"/>
        <c:majorGridlines/>
        <c:delete val="0"/>
        <c:numFmt formatCode="General" sourceLinked="1"/>
        <c:majorTickMark val="out"/>
        <c:minorTickMark val="none"/>
        <c:tickLblPos val="nextTo"/>
        <c:crossAx val="13308679"/>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lognormal</a:t>
            </a:r>
          </a:p>
        </c:rich>
      </c:tx>
      <c:layout/>
      <c:spPr>
        <a:noFill/>
        <a:ln>
          <a:noFill/>
        </a:ln>
      </c:spPr>
    </c:title>
    <c:plotArea>
      <c:layout>
        <c:manualLayout>
          <c:xMode val="edge"/>
          <c:yMode val="edge"/>
          <c:x val="0.017"/>
          <c:y val="0.0855"/>
          <c:w val="0.72775"/>
          <c:h val="0.912"/>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'grace 1998'!$N$14:$N$21</c:f>
              <c:numCache>
                <c:ptCount val="8"/>
                <c:pt idx="0">
                  <c:v>0</c:v>
                </c:pt>
                <c:pt idx="1">
                  <c:v>0</c:v>
                </c:pt>
                <c:pt idx="2">
                  <c:v>0</c:v>
                </c:pt>
                <c:pt idx="3">
                  <c:v>0</c:v>
                </c:pt>
                <c:pt idx="4">
                  <c:v>0</c:v>
                </c:pt>
                <c:pt idx="5">
                  <c:v>0</c:v>
                </c:pt>
                <c:pt idx="6">
                  <c:v>0</c:v>
                </c:pt>
                <c:pt idx="7">
                  <c:v>0</c:v>
                </c:pt>
              </c:numCache>
            </c:numRef>
          </c:xVal>
          <c:yVal>
            <c:numRef>
              <c:f>'grace 1998'!$T$14:$T$21</c:f>
              <c:numCache>
                <c:ptCount val="8"/>
                <c:pt idx="0">
                  <c:v>0</c:v>
                </c:pt>
                <c:pt idx="1">
                  <c:v>0</c:v>
                </c:pt>
                <c:pt idx="2">
                  <c:v>0</c:v>
                </c:pt>
                <c:pt idx="3">
                  <c:v>0</c:v>
                </c:pt>
                <c:pt idx="4">
                  <c:v>0</c:v>
                </c:pt>
                <c:pt idx="5">
                  <c:v>0</c:v>
                </c:pt>
                <c:pt idx="6">
                  <c:v>0</c:v>
                </c:pt>
                <c:pt idx="7">
                  <c:v>0</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trendline>
            <c:trendlineType val="linear"/>
            <c:dispEq val="1"/>
            <c:dispRSqr val="1"/>
            <c:trendlineLbl>
              <c:layout>
                <c:manualLayout>
                  <c:x val="0"/>
                  <c:y val="0"/>
                </c:manualLayout>
              </c:layout>
              <c:numFmt formatCode="General"/>
            </c:trendlineLbl>
          </c:trendline>
          <c:xVal>
            <c:numRef>
              <c:f>'grace 1998'!$N$14:$N$21</c:f>
              <c:numCache>
                <c:ptCount val="8"/>
                <c:pt idx="0">
                  <c:v>0</c:v>
                </c:pt>
                <c:pt idx="1">
                  <c:v>0</c:v>
                </c:pt>
                <c:pt idx="2">
                  <c:v>0</c:v>
                </c:pt>
                <c:pt idx="3">
                  <c:v>0</c:v>
                </c:pt>
                <c:pt idx="4">
                  <c:v>0</c:v>
                </c:pt>
                <c:pt idx="5">
                  <c:v>0</c:v>
                </c:pt>
                <c:pt idx="6">
                  <c:v>0</c:v>
                </c:pt>
                <c:pt idx="7">
                  <c:v>0</c:v>
                </c:pt>
              </c:numCache>
            </c:numRef>
          </c:xVal>
          <c:yVal>
            <c:numRef>
              <c:f>'grace 1998'!$U$14:$U$21</c:f>
              <c:numCache>
                <c:ptCount val="8"/>
                <c:pt idx="0">
                  <c:v>0</c:v>
                </c:pt>
                <c:pt idx="1">
                  <c:v>0</c:v>
                </c:pt>
                <c:pt idx="2">
                  <c:v>0</c:v>
                </c:pt>
                <c:pt idx="3">
                  <c:v>0</c:v>
                </c:pt>
                <c:pt idx="4">
                  <c:v>0</c:v>
                </c:pt>
                <c:pt idx="5">
                  <c:v>0</c:v>
                </c:pt>
                <c:pt idx="6">
                  <c:v>0</c:v>
                </c:pt>
                <c:pt idx="7">
                  <c:v>0</c:v>
                </c:pt>
              </c:numCache>
            </c:numRef>
          </c:y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trendline>
            <c:trendlineType val="linear"/>
            <c:dispEq val="1"/>
            <c:dispRSqr val="1"/>
            <c:trendlineLbl>
              <c:layout>
                <c:manualLayout>
                  <c:x val="0"/>
                  <c:y val="0"/>
                </c:manualLayout>
              </c:layout>
              <c:numFmt formatCode="General"/>
            </c:trendlineLbl>
          </c:trendline>
          <c:xVal>
            <c:numRef>
              <c:f>'grace 1998'!$N$14:$N$21</c:f>
              <c:numCache>
                <c:ptCount val="8"/>
                <c:pt idx="0">
                  <c:v>0</c:v>
                </c:pt>
                <c:pt idx="1">
                  <c:v>0</c:v>
                </c:pt>
                <c:pt idx="2">
                  <c:v>0</c:v>
                </c:pt>
                <c:pt idx="3">
                  <c:v>0</c:v>
                </c:pt>
                <c:pt idx="4">
                  <c:v>0</c:v>
                </c:pt>
                <c:pt idx="5">
                  <c:v>0</c:v>
                </c:pt>
                <c:pt idx="6">
                  <c:v>0</c:v>
                </c:pt>
                <c:pt idx="7">
                  <c:v>0</c:v>
                </c:pt>
              </c:numCache>
            </c:numRef>
          </c:xVal>
          <c:yVal>
            <c:numRef>
              <c:f>'grace 1998'!$V$14:$V$21</c:f>
              <c:numCache>
                <c:ptCount val="8"/>
                <c:pt idx="0">
                  <c:v>0</c:v>
                </c:pt>
                <c:pt idx="1">
                  <c:v>0</c:v>
                </c:pt>
                <c:pt idx="2">
                  <c:v>0</c:v>
                </c:pt>
                <c:pt idx="3">
                  <c:v>0</c:v>
                </c:pt>
                <c:pt idx="4">
                  <c:v>0</c:v>
                </c:pt>
                <c:pt idx="5">
                  <c:v>0</c:v>
                </c:pt>
                <c:pt idx="6">
                  <c:v>0</c:v>
                </c:pt>
                <c:pt idx="7">
                  <c:v>0</c:v>
                </c:pt>
              </c:numCache>
            </c:numRef>
          </c:yVal>
          <c:smooth val="0"/>
        </c:ser>
        <c:axId val="4261185"/>
        <c:axId val="38350666"/>
      </c:scatterChart>
      <c:valAx>
        <c:axId val="4261185"/>
        <c:scaling>
          <c:orientation val="minMax"/>
        </c:scaling>
        <c:axPos val="b"/>
        <c:delete val="0"/>
        <c:numFmt formatCode="General" sourceLinked="1"/>
        <c:majorTickMark val="out"/>
        <c:minorTickMark val="none"/>
        <c:tickLblPos val="nextTo"/>
        <c:crossAx val="38350666"/>
        <c:crosses val="autoZero"/>
        <c:crossBetween val="midCat"/>
        <c:dispUnits/>
      </c:valAx>
      <c:valAx>
        <c:axId val="38350666"/>
        <c:scaling>
          <c:orientation val="minMax"/>
        </c:scaling>
        <c:axPos val="l"/>
        <c:majorGridlines/>
        <c:delete val="0"/>
        <c:numFmt formatCode="General" sourceLinked="1"/>
        <c:majorTickMark val="out"/>
        <c:minorTickMark val="none"/>
        <c:tickLblPos val="nextTo"/>
        <c:crossAx val="4261185"/>
        <c:crosses val="autoZero"/>
        <c:crossBetween val="midCat"/>
        <c:dispUnits/>
      </c:valAx>
      <c:spPr>
        <a:solidFill>
          <a:srgbClr val="C0C0C0"/>
        </a:solidFill>
        <a:ln w="12700">
          <a:solidFill>
            <a:srgbClr val="808080"/>
          </a:solidFill>
        </a:ln>
      </c:spPr>
    </c:plotArea>
    <c:legend>
      <c:legendPos val="r"/>
      <c:layout>
        <c:manualLayout>
          <c:xMode val="edge"/>
          <c:yMode val="edge"/>
          <c:x val="0.77675"/>
          <c:y val="0.367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E17G</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'Fisher 2000'!$O$9:$O$28</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'Fisher 2000'!$Q$9:$Q$28</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ser>
        <c:axId val="9611675"/>
        <c:axId val="19396212"/>
      </c:scatterChart>
      <c:valAx>
        <c:axId val="9611675"/>
        <c:scaling>
          <c:orientation val="minMax"/>
        </c:scaling>
        <c:axPos val="b"/>
        <c:title>
          <c:tx>
            <c:rich>
              <a:bodyPr vert="horz" rot="0" anchor="ctr"/>
              <a:lstStyle/>
              <a:p>
                <a:pPr algn="ctr">
                  <a:defRPr/>
                </a:pPr>
                <a:r>
                  <a:rPr lang="en-US" cap="none" sz="1000"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19396212"/>
        <c:crosses val="autoZero"/>
        <c:crossBetween val="midCat"/>
        <c:dispUnits/>
      </c:valAx>
      <c:valAx>
        <c:axId val="19396212"/>
        <c:scaling>
          <c:orientation val="minMax"/>
        </c:scaling>
        <c:axPos val="l"/>
        <c:title>
          <c:tx>
            <c:rich>
              <a:bodyPr vert="horz" rot="-5400000" anchor="ctr"/>
              <a:lstStyle/>
              <a:p>
                <a:pPr algn="ctr">
                  <a:defRPr/>
                </a:pPr>
                <a:r>
                  <a:rPr lang="en-US" cap="none" sz="1000" b="1" i="0" u="none" baseline="0">
                    <a:latin typeface="Arial"/>
                    <a:ea typeface="Arial"/>
                    <a:cs typeface="Arial"/>
                  </a:rPr>
                  <a:t>normal E17Glucuronidation</a:t>
                </a:r>
              </a:p>
            </c:rich>
          </c:tx>
          <c:layout/>
          <c:overlay val="0"/>
          <c:spPr>
            <a:noFill/>
            <a:ln>
              <a:noFill/>
            </a:ln>
          </c:spPr>
        </c:title>
        <c:majorGridlines/>
        <c:delete val="0"/>
        <c:numFmt formatCode="General" sourceLinked="1"/>
        <c:majorTickMark val="out"/>
        <c:minorTickMark val="none"/>
        <c:tickLblPos val="nextTo"/>
        <c:crossAx val="9611675"/>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Normal</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'Fisher 2000'!$O$9:$O$28</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'Fisher 2000'!$R$9:$R$28</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trendline>
            <c:trendlineType val="linear"/>
            <c:dispEq val="1"/>
            <c:dispRSqr val="1"/>
            <c:trendlineLbl>
              <c:numFmt formatCode="General"/>
            </c:trendlineLbl>
          </c:trendline>
          <c:xVal>
            <c:numRef>
              <c:f>'Fisher 2000'!$O$9:$O$28</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'Fisher 2000'!$S$9:$S$28</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ser>
        <c:axId val="40348181"/>
        <c:axId val="27589310"/>
      </c:scatterChart>
      <c:valAx>
        <c:axId val="40348181"/>
        <c:scaling>
          <c:orientation val="minMax"/>
        </c:scaling>
        <c:axPos val="b"/>
        <c:title>
          <c:tx>
            <c:rich>
              <a:bodyPr vert="horz" rot="0" anchor="ctr"/>
              <a:lstStyle/>
              <a:p>
                <a:pPr algn="ctr">
                  <a:defRPr/>
                </a:pPr>
                <a:r>
                  <a:rPr lang="en-US" cap="none" sz="1000"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27589310"/>
        <c:crosses val="autoZero"/>
        <c:crossBetween val="midCat"/>
        <c:dispUnits/>
      </c:valAx>
      <c:valAx>
        <c:axId val="27589310"/>
        <c:scaling>
          <c:orientation val="minMax"/>
        </c:scaling>
        <c:axPos val="l"/>
        <c:title>
          <c:tx>
            <c:rich>
              <a:bodyPr vert="horz" rot="-5400000" anchor="ctr"/>
              <a:lstStyle/>
              <a:p>
                <a:pPr algn="ctr">
                  <a:defRPr/>
                </a:pPr>
                <a:r>
                  <a:rPr lang="en-US" cap="none" sz="1000" b="1" i="0" u="none" baseline="0">
                    <a:latin typeface="Arial"/>
                    <a:ea typeface="Arial"/>
                    <a:cs typeface="Arial"/>
                  </a:rPr>
                  <a:t>M3 G APAPG</a:t>
                </a:r>
              </a:p>
            </c:rich>
          </c:tx>
          <c:layout/>
          <c:overlay val="0"/>
          <c:spPr>
            <a:noFill/>
            <a:ln>
              <a:noFill/>
            </a:ln>
          </c:spPr>
        </c:title>
        <c:majorGridlines/>
        <c:delete val="0"/>
        <c:numFmt formatCode="General" sourceLinked="1"/>
        <c:majorTickMark val="out"/>
        <c:minorTickMark val="none"/>
        <c:tickLblPos val="nextTo"/>
        <c:crossAx val="40348181"/>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lognormal</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'Fisher 2000'!$O$9:$O$28</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'Fisher 2000'!$U$9:$U$28</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trendline>
            <c:trendlineType val="linear"/>
            <c:dispEq val="1"/>
            <c:dispRSqr val="1"/>
            <c:trendlineLbl>
              <c:layout>
                <c:manualLayout>
                  <c:x val="0"/>
                  <c:y val="0"/>
                </c:manualLayout>
              </c:layout>
              <c:numFmt formatCode="General"/>
            </c:trendlineLbl>
          </c:trendline>
          <c:xVal>
            <c:numRef>
              <c:f>'Fisher 2000'!$O$9:$O$28</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'Fisher 2000'!$V$9:$V$28</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trendline>
            <c:trendlineType val="linear"/>
            <c:dispEq val="1"/>
            <c:dispRSqr val="1"/>
            <c:trendlineLbl>
              <c:layout>
                <c:manualLayout>
                  <c:x val="0"/>
                  <c:y val="0"/>
                </c:manualLayout>
              </c:layout>
              <c:numFmt formatCode="General"/>
            </c:trendlineLbl>
          </c:trendline>
          <c:xVal>
            <c:numRef>
              <c:f>'Fisher 2000'!$O$9:$O$28</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'Fisher 2000'!$W$9:$W$28</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ser>
        <c:axId val="46977199"/>
        <c:axId val="20141608"/>
      </c:scatterChart>
      <c:valAx>
        <c:axId val="46977199"/>
        <c:scaling>
          <c:orientation val="minMax"/>
        </c:scaling>
        <c:axPos val="b"/>
        <c:title>
          <c:tx>
            <c:rich>
              <a:bodyPr vert="horz" rot="0" anchor="ctr"/>
              <a:lstStyle/>
              <a:p>
                <a:pPr algn="ctr">
                  <a:defRPr/>
                </a:pPr>
                <a:r>
                  <a:rPr lang="en-US" cap="none" sz="1000"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20141608"/>
        <c:crosses val="autoZero"/>
        <c:crossBetween val="midCat"/>
        <c:dispUnits/>
      </c:valAx>
      <c:valAx>
        <c:axId val="20141608"/>
        <c:scaling>
          <c:orientation val="minMax"/>
        </c:scaling>
        <c:axPos val="l"/>
        <c:title>
          <c:tx>
            <c:rich>
              <a:bodyPr vert="horz" rot="-5400000" anchor="ctr"/>
              <a:lstStyle/>
              <a:p>
                <a:pPr algn="ctr">
                  <a:defRPr/>
                </a:pPr>
                <a:r>
                  <a:rPr lang="en-US" cap="none" sz="1000" b="1" i="0" u="none" baseline="0">
                    <a:latin typeface="Arial"/>
                    <a:ea typeface="Arial"/>
                    <a:cs typeface="Arial"/>
                  </a:rPr>
                  <a:t>log </a:t>
                </a:r>
              </a:p>
            </c:rich>
          </c:tx>
          <c:layout/>
          <c:overlay val="0"/>
          <c:spPr>
            <a:noFill/>
            <a:ln>
              <a:noFill/>
            </a:ln>
          </c:spPr>
        </c:title>
        <c:majorGridlines/>
        <c:delete val="0"/>
        <c:numFmt formatCode="General" sourceLinked="1"/>
        <c:majorTickMark val="out"/>
        <c:minorTickMark val="none"/>
        <c:tickLblPos val="nextTo"/>
        <c:crossAx val="46977199"/>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PMA O-demethylation</a:t>
            </a:r>
          </a:p>
        </c:rich>
      </c:tx>
      <c:layout>
        <c:manualLayout>
          <c:xMode val="factor"/>
          <c:yMode val="factor"/>
          <c:x val="0.00125"/>
          <c:y val="0.01075"/>
        </c:manualLayout>
      </c:layout>
      <c:spPr>
        <a:noFill/>
        <a:ln>
          <a:noFill/>
        </a:ln>
      </c:spPr>
    </c:title>
    <c:plotArea>
      <c:layout>
        <c:manualLayout>
          <c:xMode val="edge"/>
          <c:yMode val="edge"/>
          <c:x val="0.04575"/>
          <c:y val="0.158"/>
          <c:w val="0.78925"/>
          <c:h val="0.72475"/>
        </c:manualLayout>
      </c:layout>
      <c:scatterChart>
        <c:scatterStyle val="lineMarker"/>
        <c:varyColors val="0"/>
        <c:ser>
          <c:idx val="0"/>
          <c:order val="0"/>
          <c:tx>
            <c:strRef>
              <c:f>'wu 1997'!$R$11</c:f>
              <c:strCache>
                <c:ptCount val="1"/>
                <c:pt idx="0">
                  <c:v>log Km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'wu 1997'!$Q$12:$Q$17</c:f>
              <c:numCache>
                <c:ptCount val="6"/>
                <c:pt idx="0">
                  <c:v>0</c:v>
                </c:pt>
                <c:pt idx="1">
                  <c:v>0</c:v>
                </c:pt>
                <c:pt idx="2">
                  <c:v>0</c:v>
                </c:pt>
                <c:pt idx="3">
                  <c:v>0</c:v>
                </c:pt>
                <c:pt idx="4">
                  <c:v>0</c:v>
                </c:pt>
                <c:pt idx="5">
                  <c:v>0</c:v>
                </c:pt>
              </c:numCache>
            </c:numRef>
          </c:xVal>
          <c:yVal>
            <c:numRef>
              <c:f>'wu 1997'!$R$12:$R$17</c:f>
              <c:numCache>
                <c:ptCount val="6"/>
                <c:pt idx="0">
                  <c:v>0</c:v>
                </c:pt>
                <c:pt idx="1">
                  <c:v>0</c:v>
                </c:pt>
                <c:pt idx="2">
                  <c:v>0</c:v>
                </c:pt>
                <c:pt idx="3">
                  <c:v>0</c:v>
                </c:pt>
                <c:pt idx="4">
                  <c:v>0</c:v>
                </c:pt>
                <c:pt idx="5">
                  <c:v>0</c:v>
                </c:pt>
              </c:numCache>
            </c:numRef>
          </c:yVal>
          <c:smooth val="0"/>
        </c:ser>
        <c:axId val="47056745"/>
        <c:axId val="20857522"/>
      </c:scatterChart>
      <c:valAx>
        <c:axId val="47056745"/>
        <c:scaling>
          <c:orientation val="minMax"/>
        </c:scaling>
        <c:axPos val="b"/>
        <c:title>
          <c:tx>
            <c:rich>
              <a:bodyPr vert="horz" rot="0" anchor="ctr"/>
              <a:lstStyle/>
              <a:p>
                <a:pPr algn="ctr">
                  <a:defRPr/>
                </a:pPr>
                <a:r>
                  <a:rPr lang="en-US" cap="none" sz="1000"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20857522"/>
        <c:crosses val="autoZero"/>
        <c:crossBetween val="midCat"/>
        <c:dispUnits/>
      </c:valAx>
      <c:valAx>
        <c:axId val="20857522"/>
        <c:scaling>
          <c:orientation val="minMax"/>
        </c:scaling>
        <c:axPos val="l"/>
        <c:title>
          <c:tx>
            <c:rich>
              <a:bodyPr vert="horz" rot="-5400000" anchor="ctr"/>
              <a:lstStyle/>
              <a:p>
                <a:pPr algn="ctr">
                  <a:defRPr/>
                </a:pPr>
                <a:r>
                  <a:rPr lang="en-US" cap="none" sz="1000" b="1" i="0" u="none" baseline="0">
                    <a:latin typeface="Arial"/>
                    <a:ea typeface="Arial"/>
                    <a:cs typeface="Arial"/>
                  </a:rPr>
                  <a:t>Log Km UM</a:t>
                </a:r>
              </a:p>
            </c:rich>
          </c:tx>
          <c:layout/>
          <c:overlay val="0"/>
          <c:spPr>
            <a:noFill/>
            <a:ln>
              <a:noFill/>
            </a:ln>
          </c:spPr>
        </c:title>
        <c:majorGridlines/>
        <c:delete val="0"/>
        <c:numFmt formatCode="General" sourceLinked="1"/>
        <c:majorTickMark val="out"/>
        <c:minorTickMark val="none"/>
        <c:tickLblPos val="nextTo"/>
        <c:crossAx val="47056745"/>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'wu 1997'!$Q$12:$Q$17</c:f>
              <c:numCache>
                <c:ptCount val="6"/>
                <c:pt idx="0">
                  <c:v>0</c:v>
                </c:pt>
                <c:pt idx="1">
                  <c:v>0</c:v>
                </c:pt>
                <c:pt idx="2">
                  <c:v>0</c:v>
                </c:pt>
                <c:pt idx="3">
                  <c:v>0</c:v>
                </c:pt>
                <c:pt idx="4">
                  <c:v>0</c:v>
                </c:pt>
                <c:pt idx="5">
                  <c:v>0</c:v>
                </c:pt>
              </c:numCache>
            </c:numRef>
          </c:xVal>
          <c:yVal>
            <c:numRef>
              <c:f>'wu 1997'!$S$12:$S$17</c:f>
              <c:numCache>
                <c:ptCount val="6"/>
                <c:pt idx="0">
                  <c:v>0</c:v>
                </c:pt>
                <c:pt idx="1">
                  <c:v>0</c:v>
                </c:pt>
                <c:pt idx="2">
                  <c:v>0</c:v>
                </c:pt>
                <c:pt idx="3">
                  <c:v>0</c:v>
                </c:pt>
                <c:pt idx="4">
                  <c:v>0</c:v>
                </c:pt>
                <c:pt idx="5">
                  <c:v>0</c:v>
                </c:pt>
              </c:numCache>
            </c:numRef>
          </c:yVal>
          <c:smooth val="0"/>
        </c:ser>
        <c:axId val="53499971"/>
        <c:axId val="11737692"/>
      </c:scatterChart>
      <c:valAx>
        <c:axId val="53499971"/>
        <c:scaling>
          <c:orientation val="minMax"/>
        </c:scaling>
        <c:axPos val="b"/>
        <c:title>
          <c:tx>
            <c:rich>
              <a:bodyPr vert="horz" rot="0" anchor="ctr"/>
              <a:lstStyle/>
              <a:p>
                <a:pPr algn="ctr">
                  <a:defRPr/>
                </a:pPr>
                <a:r>
                  <a:rPr lang="en-US" cap="none" sz="1000"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11737692"/>
        <c:crosses val="autoZero"/>
        <c:crossBetween val="midCat"/>
        <c:dispUnits/>
      </c:valAx>
      <c:valAx>
        <c:axId val="11737692"/>
        <c:scaling>
          <c:orientation val="minMax"/>
        </c:scaling>
        <c:axPos val="l"/>
        <c:title>
          <c:tx>
            <c:rich>
              <a:bodyPr vert="horz" rot="-5400000" anchor="ctr"/>
              <a:lstStyle/>
              <a:p>
                <a:pPr algn="ctr">
                  <a:defRPr/>
                </a:pPr>
                <a:r>
                  <a:rPr lang="en-US" cap="none" sz="1000" b="1" i="0" u="none" baseline="0">
                    <a:latin typeface="Arial"/>
                    <a:ea typeface="Arial"/>
                    <a:cs typeface="Arial"/>
                  </a:rPr>
                  <a:t>Log Vmax</a:t>
                </a:r>
              </a:p>
            </c:rich>
          </c:tx>
          <c:layout/>
          <c:overlay val="0"/>
          <c:spPr>
            <a:noFill/>
            <a:ln>
              <a:noFill/>
            </a:ln>
          </c:spPr>
        </c:title>
        <c:majorGridlines/>
        <c:delete val="0"/>
        <c:numFmt formatCode="General" sourceLinked="1"/>
        <c:majorTickMark val="out"/>
        <c:minorTickMark val="none"/>
        <c:tickLblPos val="nextTo"/>
        <c:crossAx val="53499971"/>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log Vmax/Km</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'Wandel 1998 '!$S$13:$S$28</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xVal>
          <c:yVal>
            <c:numRef>
              <c:f>'Wandel 1998 '!$V$13:$V$28</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yVal>
          <c:smooth val="0"/>
        </c:ser>
        <c:axId val="13862155"/>
        <c:axId val="57650532"/>
      </c:scatterChart>
      <c:valAx>
        <c:axId val="13862155"/>
        <c:scaling>
          <c:orientation val="minMax"/>
        </c:scaling>
        <c:axPos val="b"/>
        <c:title>
          <c:tx>
            <c:rich>
              <a:bodyPr vert="horz" rot="0" anchor="ctr"/>
              <a:lstStyle/>
              <a:p>
                <a:pPr algn="ctr">
                  <a:defRPr/>
                </a:pPr>
                <a:r>
                  <a:rPr lang="en-US" cap="none" sz="1000"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57650532"/>
        <c:crosses val="autoZero"/>
        <c:crossBetween val="midCat"/>
        <c:dispUnits/>
      </c:valAx>
      <c:valAx>
        <c:axId val="57650532"/>
        <c:scaling>
          <c:orientation val="minMax"/>
        </c:scaling>
        <c:axPos val="l"/>
        <c:title>
          <c:tx>
            <c:rich>
              <a:bodyPr vert="horz" rot="-5400000" anchor="ctr"/>
              <a:lstStyle/>
              <a:p>
                <a:pPr algn="ctr">
                  <a:defRPr/>
                </a:pPr>
                <a:r>
                  <a:rPr lang="en-US" cap="none" sz="1000" b="1" i="0" u="none" baseline="0">
                    <a:latin typeface="Arial"/>
                    <a:ea typeface="Arial"/>
                    <a:cs typeface="Arial"/>
                  </a:rPr>
                  <a:t>log Vmax/Km</a:t>
                </a:r>
              </a:p>
            </c:rich>
          </c:tx>
          <c:layout/>
          <c:overlay val="0"/>
          <c:spPr>
            <a:noFill/>
            <a:ln>
              <a:noFill/>
            </a:ln>
          </c:spPr>
        </c:title>
        <c:majorGridlines/>
        <c:delete val="0"/>
        <c:numFmt formatCode="General" sourceLinked="1"/>
        <c:majorTickMark val="out"/>
        <c:minorTickMark val="none"/>
        <c:tickLblPos val="nextTo"/>
        <c:crossAx val="13862155"/>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525"/>
          <c:y val="0.18075"/>
          <c:w val="0.801"/>
          <c:h val="0.69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'wu 1997'!$M$12:$M$17</c:f>
              <c:numCache>
                <c:ptCount val="6"/>
                <c:pt idx="0">
                  <c:v>0</c:v>
                </c:pt>
                <c:pt idx="1">
                  <c:v>0</c:v>
                </c:pt>
                <c:pt idx="2">
                  <c:v>0</c:v>
                </c:pt>
                <c:pt idx="3">
                  <c:v>0</c:v>
                </c:pt>
                <c:pt idx="4">
                  <c:v>0</c:v>
                </c:pt>
                <c:pt idx="5">
                  <c:v>0</c:v>
                </c:pt>
              </c:numCache>
            </c:numRef>
          </c:xVal>
          <c:yVal>
            <c:numRef>
              <c:f>'wu 1997'!$N$12:$N$17</c:f>
              <c:numCache>
                <c:ptCount val="6"/>
                <c:pt idx="0">
                  <c:v>0</c:v>
                </c:pt>
                <c:pt idx="1">
                  <c:v>0</c:v>
                </c:pt>
                <c:pt idx="2">
                  <c:v>0</c:v>
                </c:pt>
                <c:pt idx="3">
                  <c:v>0</c:v>
                </c:pt>
                <c:pt idx="4">
                  <c:v>0</c:v>
                </c:pt>
                <c:pt idx="5">
                  <c:v>0</c:v>
                </c:pt>
              </c:numCache>
            </c:numRef>
          </c:yVal>
          <c:smooth val="0"/>
        </c:ser>
        <c:axId val="38530365"/>
        <c:axId val="11228966"/>
      </c:scatterChart>
      <c:valAx>
        <c:axId val="38530365"/>
        <c:scaling>
          <c:orientation val="minMax"/>
        </c:scaling>
        <c:axPos val="b"/>
        <c:title>
          <c:tx>
            <c:rich>
              <a:bodyPr vert="horz" rot="0" anchor="ctr"/>
              <a:lstStyle/>
              <a:p>
                <a:pPr algn="ctr">
                  <a:defRPr/>
                </a:pPr>
                <a:r>
                  <a:rPr lang="en-US" cap="none" sz="975"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11228966"/>
        <c:crosses val="autoZero"/>
        <c:crossBetween val="midCat"/>
        <c:dispUnits/>
      </c:valAx>
      <c:valAx>
        <c:axId val="11228966"/>
        <c:scaling>
          <c:orientation val="minMax"/>
        </c:scaling>
        <c:axPos val="l"/>
        <c:title>
          <c:tx>
            <c:rich>
              <a:bodyPr vert="horz" rot="-5400000" anchor="ctr"/>
              <a:lstStyle/>
              <a:p>
                <a:pPr algn="ctr">
                  <a:defRPr/>
                </a:pPr>
                <a:r>
                  <a:rPr lang="en-US" cap="none" sz="975" b="1" i="0" u="none" baseline="0">
                    <a:latin typeface="Arial"/>
                    <a:ea typeface="Arial"/>
                    <a:cs typeface="Arial"/>
                  </a:rPr>
                  <a:t>V max</a:t>
                </a:r>
              </a:p>
            </c:rich>
          </c:tx>
          <c:layout/>
          <c:overlay val="0"/>
          <c:spPr>
            <a:noFill/>
            <a:ln>
              <a:noFill/>
            </a:ln>
          </c:spPr>
        </c:title>
        <c:majorGridlines/>
        <c:delete val="0"/>
        <c:numFmt formatCode="General" sourceLinked="1"/>
        <c:majorTickMark val="out"/>
        <c:minorTickMark val="none"/>
        <c:tickLblPos val="nextTo"/>
        <c:crossAx val="38530365"/>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75" b="0" i="0" u="none" baseline="0">
          <a:latin typeface="Arial"/>
          <a:ea typeface="Arial"/>
          <a:cs typeface="Arial"/>
        </a:defRPr>
      </a:pPr>
    </a:p>
  </c:txPr>
  <c:userShapes r:id="rId1"/>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95"/>
          <c:y val="0.0375"/>
          <c:w val="0.6215"/>
          <c:h val="0.85025"/>
        </c:manualLayout>
      </c:layout>
      <c:scatterChart>
        <c:scatterStyle val="lineMarker"/>
        <c:varyColors val="0"/>
        <c:ser>
          <c:idx val="0"/>
          <c:order val="0"/>
          <c:tx>
            <c:strRef>
              <c:f>'wu 1997'!$T$11</c:f>
              <c:strCache>
                <c:ptCount val="1"/>
                <c:pt idx="0">
                  <c:v>log Vmax/Km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'wu 1997'!$Q$12:$Q$17</c:f>
              <c:numCache>
                <c:ptCount val="6"/>
                <c:pt idx="0">
                  <c:v>0</c:v>
                </c:pt>
                <c:pt idx="1">
                  <c:v>0</c:v>
                </c:pt>
                <c:pt idx="2">
                  <c:v>0</c:v>
                </c:pt>
                <c:pt idx="3">
                  <c:v>0</c:v>
                </c:pt>
                <c:pt idx="4">
                  <c:v>0</c:v>
                </c:pt>
                <c:pt idx="5">
                  <c:v>0</c:v>
                </c:pt>
              </c:numCache>
            </c:numRef>
          </c:xVal>
          <c:yVal>
            <c:numRef>
              <c:f>'wu 1997'!$T$12:$T$17</c:f>
              <c:numCache>
                <c:ptCount val="6"/>
                <c:pt idx="0">
                  <c:v>0</c:v>
                </c:pt>
                <c:pt idx="1">
                  <c:v>0</c:v>
                </c:pt>
                <c:pt idx="2">
                  <c:v>0</c:v>
                </c:pt>
                <c:pt idx="3">
                  <c:v>0</c:v>
                </c:pt>
                <c:pt idx="4">
                  <c:v>0</c:v>
                </c:pt>
                <c:pt idx="5">
                  <c:v>0</c:v>
                </c:pt>
              </c:numCache>
            </c:numRef>
          </c:yVal>
          <c:smooth val="0"/>
        </c:ser>
        <c:axId val="33951831"/>
        <c:axId val="37131024"/>
      </c:scatterChart>
      <c:valAx>
        <c:axId val="33951831"/>
        <c:scaling>
          <c:orientation val="minMax"/>
        </c:scaling>
        <c:axPos val="b"/>
        <c:title>
          <c:tx>
            <c:rich>
              <a:bodyPr vert="horz" rot="0" anchor="ctr"/>
              <a:lstStyle/>
              <a:p>
                <a:pPr algn="ctr">
                  <a:defRPr/>
                </a:pPr>
                <a:r>
                  <a:rPr lang="en-US" cap="none" sz="975"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37131024"/>
        <c:crosses val="autoZero"/>
        <c:crossBetween val="midCat"/>
        <c:dispUnits/>
      </c:valAx>
      <c:valAx>
        <c:axId val="37131024"/>
        <c:scaling>
          <c:orientation val="minMax"/>
        </c:scaling>
        <c:axPos val="l"/>
        <c:title>
          <c:tx>
            <c:rich>
              <a:bodyPr vert="horz" rot="-5400000" anchor="ctr"/>
              <a:lstStyle/>
              <a:p>
                <a:pPr algn="ctr">
                  <a:defRPr/>
                </a:pPr>
                <a:r>
                  <a:rPr lang="en-US" cap="none" sz="975" b="1" i="0" u="none" baseline="0">
                    <a:latin typeface="Arial"/>
                    <a:ea typeface="Arial"/>
                    <a:cs typeface="Arial"/>
                  </a:rPr>
                  <a:t>log Vmax/Km</a:t>
                </a:r>
              </a:p>
            </c:rich>
          </c:tx>
          <c:layout>
            <c:manualLayout>
              <c:xMode val="factor"/>
              <c:yMode val="factor"/>
              <c:x val="-0.00375"/>
              <c:y val="-0.01775"/>
            </c:manualLayout>
          </c:layout>
          <c:overlay val="0"/>
          <c:spPr>
            <a:noFill/>
            <a:ln>
              <a:noFill/>
            </a:ln>
          </c:spPr>
        </c:title>
        <c:majorGridlines/>
        <c:delete val="0"/>
        <c:numFmt formatCode="General" sourceLinked="1"/>
        <c:majorTickMark val="out"/>
        <c:minorTickMark val="none"/>
        <c:tickLblPos val="nextTo"/>
        <c:crossAx val="33951831"/>
        <c:crosses val="autoZero"/>
        <c:crossBetween val="midCat"/>
        <c:dispUnits/>
      </c:valAx>
      <c:spPr>
        <a:solidFill>
          <a:srgbClr val="C0C0C0"/>
        </a:solidFill>
        <a:ln w="12700">
          <a:solidFill>
            <a:srgbClr val="808080"/>
          </a:solidFill>
        </a:ln>
      </c:spPr>
    </c:plotArea>
    <c:legend>
      <c:legendPos val="r"/>
      <c:layout>
        <c:manualLayout>
          <c:xMode val="edge"/>
          <c:yMode val="edge"/>
          <c:x val="0.71875"/>
          <c:y val="0.3525"/>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userShapes r:id="rId1"/>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PMA O-demethylation</a:t>
            </a:r>
          </a:p>
        </c:rich>
      </c:tx>
      <c:layout/>
      <c:spPr>
        <a:noFill/>
        <a:ln>
          <a:noFill/>
        </a:ln>
      </c:spPr>
    </c:title>
    <c:plotArea>
      <c:layout/>
      <c:scatterChart>
        <c:scatterStyle val="lineMarker"/>
        <c:varyColors val="0"/>
        <c:ser>
          <c:idx val="0"/>
          <c:order val="0"/>
          <c:tx>
            <c:strRef>
              <c:f>'wu 1997'!$V$11</c:f>
              <c:strCache>
                <c:ptCount val="1"/>
                <c:pt idx="0">
                  <c:v>Vmax/Km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'wu 1997'!$Q$12:$Q$17</c:f>
              <c:numCache>
                <c:ptCount val="6"/>
                <c:pt idx="0">
                  <c:v>0</c:v>
                </c:pt>
                <c:pt idx="1">
                  <c:v>0</c:v>
                </c:pt>
                <c:pt idx="2">
                  <c:v>0</c:v>
                </c:pt>
                <c:pt idx="3">
                  <c:v>0</c:v>
                </c:pt>
                <c:pt idx="4">
                  <c:v>0</c:v>
                </c:pt>
                <c:pt idx="5">
                  <c:v>0</c:v>
                </c:pt>
              </c:numCache>
            </c:numRef>
          </c:xVal>
          <c:yVal>
            <c:numRef>
              <c:f>'wu 1997'!$V$12:$V$17</c:f>
              <c:numCache>
                <c:ptCount val="6"/>
                <c:pt idx="0">
                  <c:v>0</c:v>
                </c:pt>
                <c:pt idx="1">
                  <c:v>0</c:v>
                </c:pt>
                <c:pt idx="2">
                  <c:v>0</c:v>
                </c:pt>
                <c:pt idx="3">
                  <c:v>0</c:v>
                </c:pt>
                <c:pt idx="4">
                  <c:v>0</c:v>
                </c:pt>
                <c:pt idx="5">
                  <c:v>0</c:v>
                </c:pt>
              </c:numCache>
            </c:numRef>
          </c:yVal>
          <c:smooth val="0"/>
        </c:ser>
        <c:axId val="65743761"/>
        <c:axId val="54822938"/>
      </c:scatterChart>
      <c:valAx>
        <c:axId val="65743761"/>
        <c:scaling>
          <c:orientation val="minMax"/>
        </c:scaling>
        <c:axPos val="b"/>
        <c:title>
          <c:tx>
            <c:rich>
              <a:bodyPr vert="horz" rot="0" anchor="ctr"/>
              <a:lstStyle/>
              <a:p>
                <a:pPr algn="ctr">
                  <a:defRPr/>
                </a:pPr>
                <a:r>
                  <a:rPr lang="en-US" cap="none" sz="975"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54822938"/>
        <c:crosses val="autoZero"/>
        <c:crossBetween val="midCat"/>
        <c:dispUnits/>
      </c:valAx>
      <c:valAx>
        <c:axId val="54822938"/>
        <c:scaling>
          <c:orientation val="minMax"/>
        </c:scaling>
        <c:axPos val="l"/>
        <c:title>
          <c:tx>
            <c:rich>
              <a:bodyPr vert="horz" rot="-5400000" anchor="ctr"/>
              <a:lstStyle/>
              <a:p>
                <a:pPr algn="ctr">
                  <a:defRPr/>
                </a:pPr>
                <a:r>
                  <a:rPr lang="en-US" cap="none" sz="975" b="1" i="0" u="none" baseline="0">
                    <a:latin typeface="Arial"/>
                    <a:ea typeface="Arial"/>
                    <a:cs typeface="Arial"/>
                  </a:rPr>
                  <a:t>Vmax/ Km</a:t>
                </a:r>
              </a:p>
            </c:rich>
          </c:tx>
          <c:layout/>
          <c:overlay val="0"/>
          <c:spPr>
            <a:noFill/>
            <a:ln>
              <a:noFill/>
            </a:ln>
          </c:spPr>
        </c:title>
        <c:majorGridlines/>
        <c:delete val="0"/>
        <c:numFmt formatCode="General" sourceLinked="1"/>
        <c:majorTickMark val="out"/>
        <c:minorTickMark val="none"/>
        <c:tickLblPos val="nextTo"/>
        <c:crossAx val="65743761"/>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IRB</a:t>
            </a:r>
          </a:p>
        </c:rich>
      </c:tx>
      <c:layout/>
      <c:spPr>
        <a:noFill/>
        <a:ln>
          <a:noFill/>
        </a:ln>
      </c:spPr>
    </c:title>
    <c:plotArea>
      <c:layout/>
      <c:scatterChart>
        <c:scatterStyle val="lineMarker"/>
        <c:varyColors val="0"/>
        <c:ser>
          <c:idx val="0"/>
          <c:order val="0"/>
          <c:tx>
            <c:strRef>
              <c:f>bourrie1999!$AC$30</c:f>
              <c:strCache>
                <c:ptCount val="1"/>
                <c:pt idx="0">
                  <c:v>log( IRB)</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0.00"/>
            </c:trendlineLbl>
          </c:trendline>
          <c:xVal>
            <c:numRef>
              <c:f>bourrie1999!$AB$31:$AB$42</c:f>
              <c:numCache>
                <c:ptCount val="12"/>
                <c:pt idx="0">
                  <c:v>0</c:v>
                </c:pt>
                <c:pt idx="1">
                  <c:v>0</c:v>
                </c:pt>
                <c:pt idx="2">
                  <c:v>0</c:v>
                </c:pt>
                <c:pt idx="3">
                  <c:v>0</c:v>
                </c:pt>
                <c:pt idx="4">
                  <c:v>0</c:v>
                </c:pt>
                <c:pt idx="5">
                  <c:v>0</c:v>
                </c:pt>
                <c:pt idx="6">
                  <c:v>0</c:v>
                </c:pt>
                <c:pt idx="7">
                  <c:v>0</c:v>
                </c:pt>
                <c:pt idx="8">
                  <c:v>0</c:v>
                </c:pt>
                <c:pt idx="9">
                  <c:v>0</c:v>
                </c:pt>
                <c:pt idx="10">
                  <c:v>0</c:v>
                </c:pt>
                <c:pt idx="11">
                  <c:v>0</c:v>
                </c:pt>
              </c:numCache>
            </c:numRef>
          </c:xVal>
          <c:yVal>
            <c:numRef>
              <c:f>bourrie1999!$AC$31:$AC$42</c:f>
              <c:numCach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0"/>
        </c:ser>
        <c:axId val="23644395"/>
        <c:axId val="11472964"/>
      </c:scatterChart>
      <c:valAx>
        <c:axId val="23644395"/>
        <c:scaling>
          <c:orientation val="minMax"/>
        </c:scaling>
        <c:axPos val="b"/>
        <c:title>
          <c:tx>
            <c:rich>
              <a:bodyPr vert="horz" rot="0" anchor="ctr"/>
              <a:lstStyle/>
              <a:p>
                <a:pPr algn="ctr">
                  <a:defRPr/>
                </a:pPr>
                <a:r>
                  <a:rPr lang="en-US" cap="none" sz="975"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11472964"/>
        <c:crosses val="autoZero"/>
        <c:crossBetween val="midCat"/>
        <c:dispUnits/>
      </c:valAx>
      <c:valAx>
        <c:axId val="11472964"/>
        <c:scaling>
          <c:orientation val="minMax"/>
        </c:scaling>
        <c:axPos val="l"/>
        <c:title>
          <c:tx>
            <c:rich>
              <a:bodyPr vert="horz" rot="-5400000" anchor="ctr"/>
              <a:lstStyle/>
              <a:p>
                <a:pPr algn="ctr">
                  <a:defRPr/>
                </a:pPr>
                <a:r>
                  <a:rPr lang="en-US" cap="none" sz="975" b="1" i="0" u="none" baseline="0">
                    <a:latin typeface="Arial"/>
                    <a:ea typeface="Arial"/>
                    <a:cs typeface="Arial"/>
                  </a:rPr>
                  <a:t>log (IRB)</a:t>
                </a:r>
              </a:p>
            </c:rich>
          </c:tx>
          <c:layout/>
          <c:overlay val="0"/>
          <c:spPr>
            <a:noFill/>
            <a:ln>
              <a:noFill/>
            </a:ln>
          </c:spPr>
        </c:title>
        <c:majorGridlines/>
        <c:delete val="0"/>
        <c:numFmt formatCode="General" sourceLinked="1"/>
        <c:majorTickMark val="out"/>
        <c:minorTickMark val="none"/>
        <c:tickLblPos val="nextTo"/>
        <c:crossAx val="23644395"/>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7-ER</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bourrie1999!$AB$31:$AB$42</c:f>
              <c:numCache>
                <c:ptCount val="12"/>
                <c:pt idx="0">
                  <c:v>0</c:v>
                </c:pt>
                <c:pt idx="1">
                  <c:v>0</c:v>
                </c:pt>
                <c:pt idx="2">
                  <c:v>0</c:v>
                </c:pt>
                <c:pt idx="3">
                  <c:v>0</c:v>
                </c:pt>
                <c:pt idx="4">
                  <c:v>0</c:v>
                </c:pt>
                <c:pt idx="5">
                  <c:v>0</c:v>
                </c:pt>
                <c:pt idx="6">
                  <c:v>0</c:v>
                </c:pt>
                <c:pt idx="7">
                  <c:v>0</c:v>
                </c:pt>
                <c:pt idx="8">
                  <c:v>0</c:v>
                </c:pt>
                <c:pt idx="9">
                  <c:v>0</c:v>
                </c:pt>
                <c:pt idx="10">
                  <c:v>0</c:v>
                </c:pt>
                <c:pt idx="11">
                  <c:v>0</c:v>
                </c:pt>
              </c:numCache>
            </c:numRef>
          </c:xVal>
          <c:yVal>
            <c:numRef>
              <c:f>bourrie1999!$AD$31:$AD$42</c:f>
              <c:numCach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0"/>
        </c:ser>
        <c:axId val="36147813"/>
        <c:axId val="56894862"/>
      </c:scatterChart>
      <c:valAx>
        <c:axId val="36147813"/>
        <c:scaling>
          <c:orientation val="minMax"/>
        </c:scaling>
        <c:axPos val="b"/>
        <c:title>
          <c:tx>
            <c:rich>
              <a:bodyPr vert="horz" rot="0" anchor="ctr"/>
              <a:lstStyle/>
              <a:p>
                <a:pPr algn="ctr">
                  <a:defRPr/>
                </a:pPr>
                <a:r>
                  <a:rPr lang="en-US" cap="none" sz="975" b="1" i="0" u="none" baseline="0">
                    <a:latin typeface="Arial"/>
                    <a:ea typeface="Arial"/>
                    <a:cs typeface="Arial"/>
                  </a:rPr>
                  <a:t>z-Score</a:t>
                </a:r>
              </a:p>
            </c:rich>
          </c:tx>
          <c:layout/>
          <c:overlay val="0"/>
          <c:spPr>
            <a:noFill/>
            <a:ln>
              <a:noFill/>
            </a:ln>
          </c:spPr>
        </c:title>
        <c:delete val="0"/>
        <c:numFmt formatCode="General" sourceLinked="1"/>
        <c:majorTickMark val="out"/>
        <c:minorTickMark val="none"/>
        <c:tickLblPos val="nextTo"/>
        <c:crossAx val="56894862"/>
        <c:crosses val="autoZero"/>
        <c:crossBetween val="midCat"/>
        <c:dispUnits/>
      </c:valAx>
      <c:valAx>
        <c:axId val="56894862"/>
        <c:scaling>
          <c:orientation val="minMax"/>
        </c:scaling>
        <c:axPos val="l"/>
        <c:title>
          <c:tx>
            <c:rich>
              <a:bodyPr vert="horz" rot="-5400000" anchor="ctr"/>
              <a:lstStyle/>
              <a:p>
                <a:pPr algn="ctr">
                  <a:defRPr/>
                </a:pPr>
                <a:r>
                  <a:rPr lang="en-US" cap="none" sz="975" b="1" i="0" u="none" baseline="0">
                    <a:latin typeface="Arial"/>
                    <a:ea typeface="Arial"/>
                    <a:cs typeface="Arial"/>
                  </a:rPr>
                  <a:t>log 7-ER</a:t>
                </a:r>
              </a:p>
            </c:rich>
          </c:tx>
          <c:layout/>
          <c:overlay val="0"/>
          <c:spPr>
            <a:noFill/>
            <a:ln>
              <a:noFill/>
            </a:ln>
          </c:spPr>
        </c:title>
        <c:majorGridlines/>
        <c:delete val="0"/>
        <c:numFmt formatCode="General" sourceLinked="1"/>
        <c:majorTickMark val="out"/>
        <c:minorTickMark val="none"/>
        <c:tickLblPos val="nextTo"/>
        <c:crossAx val="36147813"/>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POD</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bourrie1999!$AB$31:$AB$42</c:f>
              <c:numCache>
                <c:ptCount val="12"/>
                <c:pt idx="0">
                  <c:v>0</c:v>
                </c:pt>
                <c:pt idx="1">
                  <c:v>0</c:v>
                </c:pt>
                <c:pt idx="2">
                  <c:v>0</c:v>
                </c:pt>
                <c:pt idx="3">
                  <c:v>0</c:v>
                </c:pt>
                <c:pt idx="4">
                  <c:v>0</c:v>
                </c:pt>
                <c:pt idx="5">
                  <c:v>0</c:v>
                </c:pt>
                <c:pt idx="6">
                  <c:v>0</c:v>
                </c:pt>
                <c:pt idx="7">
                  <c:v>0</c:v>
                </c:pt>
                <c:pt idx="8">
                  <c:v>0</c:v>
                </c:pt>
                <c:pt idx="9">
                  <c:v>0</c:v>
                </c:pt>
                <c:pt idx="10">
                  <c:v>0</c:v>
                </c:pt>
                <c:pt idx="11">
                  <c:v>0</c:v>
                </c:pt>
              </c:numCache>
            </c:numRef>
          </c:xVal>
          <c:yVal>
            <c:numRef>
              <c:f>bourrie1999!$AE$31:$AE$42</c:f>
              <c:numCach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0"/>
        </c:ser>
        <c:axId val="42291711"/>
        <c:axId val="45081080"/>
      </c:scatterChart>
      <c:valAx>
        <c:axId val="42291711"/>
        <c:scaling>
          <c:orientation val="minMax"/>
        </c:scaling>
        <c:axPos val="b"/>
        <c:title>
          <c:tx>
            <c:rich>
              <a:bodyPr vert="horz" rot="0" anchor="ctr"/>
              <a:lstStyle/>
              <a:p>
                <a:pPr algn="ctr">
                  <a:defRPr/>
                </a:pPr>
                <a:r>
                  <a:rPr lang="en-US" cap="none" sz="1025"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45081080"/>
        <c:crosses val="autoZero"/>
        <c:crossBetween val="midCat"/>
        <c:dispUnits/>
      </c:valAx>
      <c:valAx>
        <c:axId val="45081080"/>
        <c:scaling>
          <c:orientation val="minMax"/>
        </c:scaling>
        <c:axPos val="l"/>
        <c:title>
          <c:tx>
            <c:rich>
              <a:bodyPr vert="horz" rot="-5400000" anchor="ctr"/>
              <a:lstStyle/>
              <a:p>
                <a:pPr algn="ctr">
                  <a:defRPr/>
                </a:pPr>
                <a:r>
                  <a:rPr lang="en-US" cap="none" sz="1025" b="1" i="0" u="none" baseline="0">
                    <a:latin typeface="Arial"/>
                    <a:ea typeface="Arial"/>
                    <a:cs typeface="Arial"/>
                  </a:rPr>
                  <a:t>log POD</a:t>
                </a:r>
              </a:p>
            </c:rich>
          </c:tx>
          <c:layout/>
          <c:overlay val="0"/>
          <c:spPr>
            <a:noFill/>
            <a:ln>
              <a:noFill/>
            </a:ln>
          </c:spPr>
        </c:title>
        <c:majorGridlines/>
        <c:delete val="0"/>
        <c:numFmt formatCode="General" sourceLinked="1"/>
        <c:majorTickMark val="out"/>
        <c:minorTickMark val="none"/>
        <c:tickLblPos val="nextTo"/>
        <c:crossAx val="42291711"/>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COH</a:t>
            </a:r>
          </a:p>
        </c:rich>
      </c:tx>
      <c:layout>
        <c:manualLayout>
          <c:xMode val="factor"/>
          <c:yMode val="factor"/>
          <c:x val="-0.0065"/>
          <c:y val="0.0035"/>
        </c:manualLayout>
      </c:layout>
      <c:spPr>
        <a:noFill/>
        <a:ln>
          <a:noFill/>
        </a:ln>
      </c:spPr>
    </c:title>
    <c:plotArea>
      <c:layout>
        <c:manualLayout>
          <c:xMode val="edge"/>
          <c:yMode val="edge"/>
          <c:x val="0.066"/>
          <c:y val="0.149"/>
          <c:w val="0.80125"/>
          <c:h val="0.745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bourrie1999!$AB$31:$AB$42</c:f>
              <c:numCache>
                <c:ptCount val="12"/>
                <c:pt idx="0">
                  <c:v>0</c:v>
                </c:pt>
                <c:pt idx="1">
                  <c:v>0</c:v>
                </c:pt>
                <c:pt idx="2">
                  <c:v>0</c:v>
                </c:pt>
                <c:pt idx="3">
                  <c:v>0</c:v>
                </c:pt>
                <c:pt idx="4">
                  <c:v>0</c:v>
                </c:pt>
                <c:pt idx="5">
                  <c:v>0</c:v>
                </c:pt>
                <c:pt idx="6">
                  <c:v>0</c:v>
                </c:pt>
                <c:pt idx="7">
                  <c:v>0</c:v>
                </c:pt>
                <c:pt idx="8">
                  <c:v>0</c:v>
                </c:pt>
                <c:pt idx="9">
                  <c:v>0</c:v>
                </c:pt>
                <c:pt idx="10">
                  <c:v>0</c:v>
                </c:pt>
                <c:pt idx="11">
                  <c:v>0</c:v>
                </c:pt>
              </c:numCache>
            </c:numRef>
          </c:xVal>
          <c:yVal>
            <c:numRef>
              <c:f>bourrie1999!$AF$31:$AF$42</c:f>
              <c:numCach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0"/>
        </c:ser>
        <c:axId val="3076537"/>
        <c:axId val="27688834"/>
      </c:scatterChart>
      <c:valAx>
        <c:axId val="3076537"/>
        <c:scaling>
          <c:orientation val="minMax"/>
        </c:scaling>
        <c:axPos val="b"/>
        <c:title>
          <c:tx>
            <c:rich>
              <a:bodyPr vert="horz" rot="0" anchor="ctr"/>
              <a:lstStyle/>
              <a:p>
                <a:pPr algn="ctr">
                  <a:defRPr/>
                </a:pPr>
                <a:r>
                  <a:rPr lang="en-US" cap="none" sz="1000"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27688834"/>
        <c:crosses val="autoZero"/>
        <c:crossBetween val="midCat"/>
        <c:dispUnits/>
      </c:valAx>
      <c:valAx>
        <c:axId val="27688834"/>
        <c:scaling>
          <c:orientation val="minMax"/>
        </c:scaling>
        <c:axPos val="l"/>
        <c:title>
          <c:tx>
            <c:rich>
              <a:bodyPr vert="horz" rot="-5400000" anchor="ctr"/>
              <a:lstStyle/>
              <a:p>
                <a:pPr algn="ctr">
                  <a:defRPr/>
                </a:pPr>
                <a:r>
                  <a:rPr lang="en-US" cap="none" sz="1000" b="1" i="0" u="none" baseline="0">
                    <a:latin typeface="Arial"/>
                    <a:ea typeface="Arial"/>
                    <a:cs typeface="Arial"/>
                  </a:rPr>
                  <a:t>log COH</a:t>
                </a:r>
              </a:p>
            </c:rich>
          </c:tx>
          <c:layout/>
          <c:overlay val="0"/>
          <c:spPr>
            <a:noFill/>
            <a:ln>
              <a:noFill/>
            </a:ln>
          </c:spPr>
        </c:title>
        <c:majorGridlines/>
        <c:delete val="0"/>
        <c:numFmt formatCode="General" sourceLinked="1"/>
        <c:majorTickMark val="out"/>
        <c:minorTickMark val="none"/>
        <c:tickLblPos val="nextTo"/>
        <c:crossAx val="3076537"/>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DOD</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bourrie1999!$AB$31:$AB$42</c:f>
              <c:numCache>
                <c:ptCount val="12"/>
                <c:pt idx="0">
                  <c:v>0</c:v>
                </c:pt>
                <c:pt idx="1">
                  <c:v>0</c:v>
                </c:pt>
                <c:pt idx="2">
                  <c:v>0</c:v>
                </c:pt>
                <c:pt idx="3">
                  <c:v>0</c:v>
                </c:pt>
                <c:pt idx="4">
                  <c:v>0</c:v>
                </c:pt>
                <c:pt idx="5">
                  <c:v>0</c:v>
                </c:pt>
                <c:pt idx="6">
                  <c:v>0</c:v>
                </c:pt>
                <c:pt idx="7">
                  <c:v>0</c:v>
                </c:pt>
                <c:pt idx="8">
                  <c:v>0</c:v>
                </c:pt>
                <c:pt idx="9">
                  <c:v>0</c:v>
                </c:pt>
                <c:pt idx="10">
                  <c:v>0</c:v>
                </c:pt>
                <c:pt idx="11">
                  <c:v>0</c:v>
                </c:pt>
              </c:numCache>
            </c:numRef>
          </c:xVal>
          <c:yVal>
            <c:numRef>
              <c:f>bourrie1999!$AG$31:$AG$42</c:f>
              <c:numCach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0"/>
        </c:ser>
        <c:axId val="47872915"/>
        <c:axId val="28203052"/>
      </c:scatterChart>
      <c:valAx>
        <c:axId val="47872915"/>
        <c:scaling>
          <c:orientation val="minMax"/>
        </c:scaling>
        <c:axPos val="b"/>
        <c:title>
          <c:tx>
            <c:rich>
              <a:bodyPr vert="horz" rot="0" anchor="ctr"/>
              <a:lstStyle/>
              <a:p>
                <a:pPr algn="ctr">
                  <a:defRPr/>
                </a:pPr>
                <a:r>
                  <a:rPr lang="en-US" cap="none" sz="1025"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28203052"/>
        <c:crosses val="autoZero"/>
        <c:crossBetween val="midCat"/>
        <c:dispUnits/>
      </c:valAx>
      <c:valAx>
        <c:axId val="28203052"/>
        <c:scaling>
          <c:orientation val="minMax"/>
        </c:scaling>
        <c:axPos val="l"/>
        <c:title>
          <c:tx>
            <c:rich>
              <a:bodyPr vert="horz" rot="-5400000" anchor="ctr"/>
              <a:lstStyle/>
              <a:p>
                <a:pPr algn="ctr">
                  <a:defRPr/>
                </a:pPr>
                <a:r>
                  <a:rPr lang="en-US" cap="none" sz="1025" b="1" i="0" u="none" baseline="0">
                    <a:latin typeface="Arial"/>
                    <a:ea typeface="Arial"/>
                    <a:cs typeface="Arial"/>
                  </a:rPr>
                  <a:t>log DOD</a:t>
                </a:r>
              </a:p>
            </c:rich>
          </c:tx>
          <c:layout/>
          <c:overlay val="0"/>
          <c:spPr>
            <a:noFill/>
            <a:ln>
              <a:noFill/>
            </a:ln>
          </c:spPr>
        </c:title>
        <c:majorGridlines/>
        <c:delete val="0"/>
        <c:numFmt formatCode="General" sourceLinked="1"/>
        <c:majorTickMark val="out"/>
        <c:minorTickMark val="none"/>
        <c:tickLblPos val="nextTo"/>
        <c:crossAx val="47872915"/>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TOH</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bourrie1999!$AB$31:$AB$42</c:f>
              <c:numCache>
                <c:ptCount val="12"/>
                <c:pt idx="0">
                  <c:v>0</c:v>
                </c:pt>
                <c:pt idx="1">
                  <c:v>0</c:v>
                </c:pt>
                <c:pt idx="2">
                  <c:v>0</c:v>
                </c:pt>
                <c:pt idx="3">
                  <c:v>0</c:v>
                </c:pt>
                <c:pt idx="4">
                  <c:v>0</c:v>
                </c:pt>
                <c:pt idx="5">
                  <c:v>0</c:v>
                </c:pt>
                <c:pt idx="6">
                  <c:v>0</c:v>
                </c:pt>
                <c:pt idx="7">
                  <c:v>0</c:v>
                </c:pt>
                <c:pt idx="8">
                  <c:v>0</c:v>
                </c:pt>
                <c:pt idx="9">
                  <c:v>0</c:v>
                </c:pt>
                <c:pt idx="10">
                  <c:v>0</c:v>
                </c:pt>
                <c:pt idx="11">
                  <c:v>0</c:v>
                </c:pt>
              </c:numCache>
            </c:numRef>
          </c:xVal>
          <c:yVal>
            <c:numRef>
              <c:f>bourrie1999!$AH$31:$AH$42</c:f>
              <c:numCach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0"/>
        </c:ser>
        <c:axId val="52500877"/>
        <c:axId val="2745846"/>
      </c:scatterChart>
      <c:valAx>
        <c:axId val="52500877"/>
        <c:scaling>
          <c:orientation val="minMax"/>
        </c:scaling>
        <c:axPos val="b"/>
        <c:title>
          <c:tx>
            <c:rich>
              <a:bodyPr vert="horz" rot="0" anchor="ctr"/>
              <a:lstStyle/>
              <a:p>
                <a:pPr algn="ctr">
                  <a:defRPr/>
                </a:pPr>
                <a:r>
                  <a:rPr lang="en-US" cap="none" sz="1025"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2745846"/>
        <c:crosses val="autoZero"/>
        <c:crossBetween val="midCat"/>
        <c:dispUnits/>
      </c:valAx>
      <c:valAx>
        <c:axId val="2745846"/>
        <c:scaling>
          <c:orientation val="minMax"/>
        </c:scaling>
        <c:axPos val="l"/>
        <c:title>
          <c:tx>
            <c:rich>
              <a:bodyPr vert="horz" rot="-5400000" anchor="ctr"/>
              <a:lstStyle/>
              <a:p>
                <a:pPr algn="ctr">
                  <a:defRPr/>
                </a:pPr>
                <a:r>
                  <a:rPr lang="en-US" cap="none" sz="1025" b="1" i="0" u="none" baseline="0">
                    <a:latin typeface="Arial"/>
                    <a:ea typeface="Arial"/>
                    <a:cs typeface="Arial"/>
                  </a:rPr>
                  <a:t>Log TOH</a:t>
                </a:r>
              </a:p>
            </c:rich>
          </c:tx>
          <c:layout/>
          <c:overlay val="0"/>
          <c:spPr>
            <a:noFill/>
            <a:ln>
              <a:noFill/>
            </a:ln>
          </c:spPr>
        </c:title>
        <c:majorGridlines/>
        <c:delete val="0"/>
        <c:numFmt formatCode="General" sourceLinked="1"/>
        <c:majorTickMark val="out"/>
        <c:minorTickMark val="none"/>
        <c:tickLblPos val="nextTo"/>
        <c:crossAx val="52500877"/>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AOH</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bourrie1999!$AB$31:$AB$42</c:f>
              <c:numCache>
                <c:ptCount val="12"/>
                <c:pt idx="0">
                  <c:v>0</c:v>
                </c:pt>
                <c:pt idx="1">
                  <c:v>0</c:v>
                </c:pt>
                <c:pt idx="2">
                  <c:v>0</c:v>
                </c:pt>
                <c:pt idx="3">
                  <c:v>0</c:v>
                </c:pt>
                <c:pt idx="4">
                  <c:v>0</c:v>
                </c:pt>
                <c:pt idx="5">
                  <c:v>0</c:v>
                </c:pt>
                <c:pt idx="6">
                  <c:v>0</c:v>
                </c:pt>
                <c:pt idx="7">
                  <c:v>0</c:v>
                </c:pt>
                <c:pt idx="8">
                  <c:v>0</c:v>
                </c:pt>
                <c:pt idx="9">
                  <c:v>0</c:v>
                </c:pt>
                <c:pt idx="10">
                  <c:v>0</c:v>
                </c:pt>
                <c:pt idx="11">
                  <c:v>0</c:v>
                </c:pt>
              </c:numCache>
            </c:numRef>
          </c:xVal>
          <c:yVal>
            <c:numRef>
              <c:f>bourrie1999!$AI$31:$AI$42</c:f>
              <c:numCach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0"/>
        </c:ser>
        <c:axId val="24712615"/>
        <c:axId val="21086944"/>
      </c:scatterChart>
      <c:valAx>
        <c:axId val="24712615"/>
        <c:scaling>
          <c:orientation val="minMax"/>
        </c:scaling>
        <c:axPos val="b"/>
        <c:title>
          <c:tx>
            <c:rich>
              <a:bodyPr vert="horz" rot="0" anchor="ctr"/>
              <a:lstStyle/>
              <a:p>
                <a:pPr algn="ctr">
                  <a:defRPr/>
                </a:pPr>
                <a:r>
                  <a:rPr lang="en-US" cap="none" sz="1050"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21086944"/>
        <c:crosses val="autoZero"/>
        <c:crossBetween val="midCat"/>
        <c:dispUnits/>
      </c:valAx>
      <c:valAx>
        <c:axId val="21086944"/>
        <c:scaling>
          <c:orientation val="minMax"/>
        </c:scaling>
        <c:axPos val="l"/>
        <c:title>
          <c:tx>
            <c:rich>
              <a:bodyPr vert="horz" rot="-5400000" anchor="ctr"/>
              <a:lstStyle/>
              <a:p>
                <a:pPr algn="ctr">
                  <a:defRPr/>
                </a:pPr>
                <a:r>
                  <a:rPr lang="en-US" cap="none" sz="1050" b="1" i="0" u="none" baseline="0">
                    <a:latin typeface="Arial"/>
                    <a:ea typeface="Arial"/>
                    <a:cs typeface="Arial"/>
                  </a:rPr>
                  <a:t>log AOH</a:t>
                </a:r>
              </a:p>
            </c:rich>
          </c:tx>
          <c:layout/>
          <c:overlay val="0"/>
          <c:spPr>
            <a:noFill/>
            <a:ln>
              <a:noFill/>
            </a:ln>
          </c:spPr>
        </c:title>
        <c:majorGridlines/>
        <c:delete val="0"/>
        <c:numFmt formatCode="General" sourceLinked="1"/>
        <c:majorTickMark val="out"/>
        <c:minorTickMark val="none"/>
        <c:tickLblPos val="nextTo"/>
        <c:crossAx val="24712615"/>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Km</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'Wandel 1998 '!$S$13:$S$28</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xVal>
          <c:yVal>
            <c:numRef>
              <c:f>'Wandel 1998 '!$Y$13:$Y$28</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yVal>
          <c:smooth val="0"/>
        </c:ser>
        <c:axId val="49092741"/>
        <c:axId val="39181486"/>
      </c:scatterChart>
      <c:valAx>
        <c:axId val="49092741"/>
        <c:scaling>
          <c:orientation val="minMax"/>
        </c:scaling>
        <c:axPos val="b"/>
        <c:title>
          <c:tx>
            <c:rich>
              <a:bodyPr vert="horz" rot="0" anchor="ctr"/>
              <a:lstStyle/>
              <a:p>
                <a:pPr algn="ctr">
                  <a:defRPr/>
                </a:pPr>
                <a:r>
                  <a:rPr lang="en-US" cap="none" sz="1000"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39181486"/>
        <c:crosses val="autoZero"/>
        <c:crossBetween val="midCat"/>
        <c:dispUnits/>
      </c:valAx>
      <c:valAx>
        <c:axId val="39181486"/>
        <c:scaling>
          <c:orientation val="minMax"/>
        </c:scaling>
        <c:axPos val="l"/>
        <c:title>
          <c:tx>
            <c:rich>
              <a:bodyPr vert="horz" rot="-5400000" anchor="ctr"/>
              <a:lstStyle/>
              <a:p>
                <a:pPr algn="ctr">
                  <a:defRPr/>
                </a:pPr>
                <a:r>
                  <a:rPr lang="en-US" cap="none" sz="1000" b="1" i="0" u="none" baseline="0">
                    <a:latin typeface="Arial"/>
                    <a:ea typeface="Arial"/>
                    <a:cs typeface="Arial"/>
                  </a:rPr>
                  <a:t>Km</a:t>
                </a:r>
              </a:p>
            </c:rich>
          </c:tx>
          <c:layout/>
          <c:overlay val="0"/>
          <c:spPr>
            <a:noFill/>
            <a:ln>
              <a:noFill/>
            </a:ln>
          </c:spPr>
        </c:title>
        <c:majorGridlines/>
        <c:delete val="0"/>
        <c:numFmt formatCode="General" sourceLinked="1"/>
        <c:majorTickMark val="out"/>
        <c:minorTickMark val="none"/>
        <c:tickLblPos val="nextTo"/>
        <c:crossAx val="49092741"/>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NDH</a:t>
            </a:r>
          </a:p>
        </c:rich>
      </c:tx>
      <c:layout/>
      <c:spPr>
        <a:noFill/>
        <a:ln>
          <a:noFill/>
        </a:ln>
      </c:spPr>
    </c:title>
    <c:plotArea>
      <c:layout>
        <c:manualLayout>
          <c:xMode val="edge"/>
          <c:yMode val="edge"/>
          <c:x val="0.06175"/>
          <c:y val="0.159"/>
          <c:w val="0.69975"/>
          <c:h val="0.732"/>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bourrie1999!$AB$31:$AB$42</c:f>
              <c:numCache>
                <c:ptCount val="12"/>
                <c:pt idx="0">
                  <c:v>0</c:v>
                </c:pt>
                <c:pt idx="1">
                  <c:v>0</c:v>
                </c:pt>
                <c:pt idx="2">
                  <c:v>0</c:v>
                </c:pt>
                <c:pt idx="3">
                  <c:v>0</c:v>
                </c:pt>
                <c:pt idx="4">
                  <c:v>0</c:v>
                </c:pt>
                <c:pt idx="5">
                  <c:v>0</c:v>
                </c:pt>
                <c:pt idx="6">
                  <c:v>0</c:v>
                </c:pt>
                <c:pt idx="7">
                  <c:v>0</c:v>
                </c:pt>
                <c:pt idx="8">
                  <c:v>0</c:v>
                </c:pt>
                <c:pt idx="9">
                  <c:v>0</c:v>
                </c:pt>
                <c:pt idx="10">
                  <c:v>0</c:v>
                </c:pt>
                <c:pt idx="11">
                  <c:v>0</c:v>
                </c:pt>
              </c:numCache>
            </c:numRef>
          </c:xVal>
          <c:yVal>
            <c:numRef>
              <c:f>bourrie1999!$AJ$31:$AJ$42</c:f>
              <c:numCach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0"/>
        </c:ser>
        <c:axId val="55564769"/>
        <c:axId val="30320874"/>
      </c:scatterChart>
      <c:valAx>
        <c:axId val="55564769"/>
        <c:scaling>
          <c:orientation val="minMax"/>
        </c:scaling>
        <c:axPos val="b"/>
        <c:title>
          <c:tx>
            <c:rich>
              <a:bodyPr vert="horz" rot="0" anchor="ctr"/>
              <a:lstStyle/>
              <a:p>
                <a:pPr algn="ctr">
                  <a:defRPr/>
                </a:pPr>
                <a:r>
                  <a:rPr lang="en-US" cap="none" sz="1075"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30320874"/>
        <c:crosses val="autoZero"/>
        <c:crossBetween val="midCat"/>
        <c:dispUnits/>
      </c:valAx>
      <c:valAx>
        <c:axId val="30320874"/>
        <c:scaling>
          <c:orientation val="minMax"/>
        </c:scaling>
        <c:axPos val="l"/>
        <c:title>
          <c:tx>
            <c:rich>
              <a:bodyPr vert="horz" rot="-5400000" anchor="ctr"/>
              <a:lstStyle/>
              <a:p>
                <a:pPr algn="ctr">
                  <a:defRPr/>
                </a:pPr>
                <a:r>
                  <a:rPr lang="en-US" cap="none" sz="1075" b="1" i="0" u="none" baseline="0">
                    <a:latin typeface="Arial"/>
                    <a:ea typeface="Arial"/>
                    <a:cs typeface="Arial"/>
                  </a:rPr>
                  <a:t>log NDH</a:t>
                </a:r>
              </a:p>
            </c:rich>
          </c:tx>
          <c:layout>
            <c:manualLayout>
              <c:xMode val="factor"/>
              <c:yMode val="factor"/>
              <c:x val="-0.00325"/>
              <c:y val="-0.04575"/>
            </c:manualLayout>
          </c:layout>
          <c:overlay val="0"/>
          <c:spPr>
            <a:noFill/>
            <a:ln>
              <a:noFill/>
            </a:ln>
          </c:spPr>
        </c:title>
        <c:majorGridlines/>
        <c:delete val="0"/>
        <c:numFmt formatCode="General" sourceLinked="1"/>
        <c:majorTickMark val="out"/>
        <c:minorTickMark val="none"/>
        <c:tickLblPos val="nextTo"/>
        <c:crossAx val="55564769"/>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lineMarker"/>
        <c:varyColors val="0"/>
        <c:ser>
          <c:idx val="0"/>
          <c:order val="0"/>
          <c:tx>
            <c:strRef>
              <c:f>bourrie1999!$AM$30</c:f>
              <c:strCache>
                <c:ptCount val="1"/>
                <c:pt idx="0">
                  <c:v>DOD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bourrie1999!$AB$31:$AB$42</c:f>
              <c:numCache>
                <c:ptCount val="12"/>
                <c:pt idx="0">
                  <c:v>0</c:v>
                </c:pt>
                <c:pt idx="1">
                  <c:v>0</c:v>
                </c:pt>
                <c:pt idx="2">
                  <c:v>0</c:v>
                </c:pt>
                <c:pt idx="3">
                  <c:v>0</c:v>
                </c:pt>
                <c:pt idx="4">
                  <c:v>0</c:v>
                </c:pt>
                <c:pt idx="5">
                  <c:v>0</c:v>
                </c:pt>
                <c:pt idx="6">
                  <c:v>0</c:v>
                </c:pt>
                <c:pt idx="7">
                  <c:v>0</c:v>
                </c:pt>
                <c:pt idx="8">
                  <c:v>0</c:v>
                </c:pt>
                <c:pt idx="9">
                  <c:v>0</c:v>
                </c:pt>
                <c:pt idx="10">
                  <c:v>0</c:v>
                </c:pt>
                <c:pt idx="11">
                  <c:v>0</c:v>
                </c:pt>
              </c:numCache>
            </c:numRef>
          </c:xVal>
          <c:yVal>
            <c:numRef>
              <c:f>bourrie1999!$AM$31:$AM$42</c:f>
              <c:numCach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0"/>
        </c:ser>
        <c:axId val="4452411"/>
        <c:axId val="40071700"/>
      </c:scatterChart>
      <c:valAx>
        <c:axId val="4452411"/>
        <c:scaling>
          <c:orientation val="minMax"/>
        </c:scaling>
        <c:axPos val="b"/>
        <c:title>
          <c:tx>
            <c:rich>
              <a:bodyPr vert="horz" rot="0" anchor="ctr"/>
              <a:lstStyle/>
              <a:p>
                <a:pPr algn="ctr">
                  <a:defRPr/>
                </a:pPr>
                <a:r>
                  <a:rPr lang="en-US" cap="none" sz="975"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40071700"/>
        <c:crosses val="autoZero"/>
        <c:crossBetween val="midCat"/>
        <c:dispUnits/>
      </c:valAx>
      <c:valAx>
        <c:axId val="40071700"/>
        <c:scaling>
          <c:orientation val="minMax"/>
        </c:scaling>
        <c:axPos val="l"/>
        <c:title>
          <c:tx>
            <c:rich>
              <a:bodyPr vert="horz" rot="-5400000" anchor="ctr"/>
              <a:lstStyle/>
              <a:p>
                <a:pPr algn="ctr">
                  <a:defRPr/>
                </a:pPr>
                <a:r>
                  <a:rPr lang="en-US" cap="none" sz="975" b="1" i="0" u="none" baseline="0">
                    <a:latin typeface="Arial"/>
                    <a:ea typeface="Arial"/>
                    <a:cs typeface="Arial"/>
                  </a:rPr>
                  <a:t>DOD</a:t>
                </a:r>
              </a:p>
            </c:rich>
          </c:tx>
          <c:layout/>
          <c:overlay val="0"/>
          <c:spPr>
            <a:noFill/>
            <a:ln>
              <a:noFill/>
            </a:ln>
          </c:spPr>
        </c:title>
        <c:majorGridlines/>
        <c:delete val="0"/>
        <c:numFmt formatCode="General" sourceLinked="1"/>
        <c:majorTickMark val="out"/>
        <c:minorTickMark val="none"/>
        <c:tickLblPos val="nextTo"/>
        <c:crossAx val="4452411"/>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75" b="0" i="0" u="none" baseline="0">
          <a:latin typeface="Arial"/>
          <a:ea typeface="Arial"/>
          <a:cs typeface="Arial"/>
        </a:defRPr>
      </a:pPr>
    </a:p>
  </c:txPr>
  <c:userShapes r:id="rId1"/>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bourrie1999!$AL$31:$AL$42</c:f>
              <c:numCache>
                <c:ptCount val="12"/>
                <c:pt idx="0">
                  <c:v>0</c:v>
                </c:pt>
                <c:pt idx="1">
                  <c:v>0</c:v>
                </c:pt>
                <c:pt idx="2">
                  <c:v>0</c:v>
                </c:pt>
                <c:pt idx="3">
                  <c:v>0</c:v>
                </c:pt>
                <c:pt idx="4">
                  <c:v>0</c:v>
                </c:pt>
                <c:pt idx="5">
                  <c:v>0</c:v>
                </c:pt>
                <c:pt idx="6">
                  <c:v>0</c:v>
                </c:pt>
                <c:pt idx="7">
                  <c:v>0</c:v>
                </c:pt>
                <c:pt idx="8">
                  <c:v>0</c:v>
                </c:pt>
                <c:pt idx="9">
                  <c:v>0</c:v>
                </c:pt>
                <c:pt idx="10">
                  <c:v>0</c:v>
                </c:pt>
                <c:pt idx="11">
                  <c:v>0</c:v>
                </c:pt>
              </c:numCache>
            </c:numRef>
          </c:xVal>
          <c:yVal>
            <c:numRef>
              <c:f>bourrie1999!$AO$31:$AO$42</c:f>
              <c:numCach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trendline>
            <c:trendlineType val="linear"/>
            <c:dispEq val="1"/>
            <c:dispRSqr val="1"/>
            <c:trendlineLbl>
              <c:layout>
                <c:manualLayout>
                  <c:x val="0"/>
                  <c:y val="0"/>
                </c:manualLayout>
              </c:layout>
              <c:numFmt formatCode="General"/>
            </c:trendlineLbl>
          </c:trendline>
          <c:xVal>
            <c:numRef>
              <c:f>bourrie1999!$AL$31:$AL$42</c:f>
              <c:numCache>
                <c:ptCount val="12"/>
                <c:pt idx="0">
                  <c:v>0</c:v>
                </c:pt>
                <c:pt idx="1">
                  <c:v>0</c:v>
                </c:pt>
                <c:pt idx="2">
                  <c:v>0</c:v>
                </c:pt>
                <c:pt idx="3">
                  <c:v>0</c:v>
                </c:pt>
                <c:pt idx="4">
                  <c:v>0</c:v>
                </c:pt>
                <c:pt idx="5">
                  <c:v>0</c:v>
                </c:pt>
                <c:pt idx="6">
                  <c:v>0</c:v>
                </c:pt>
                <c:pt idx="7">
                  <c:v>0</c:v>
                </c:pt>
                <c:pt idx="8">
                  <c:v>0</c:v>
                </c:pt>
                <c:pt idx="9">
                  <c:v>0</c:v>
                </c:pt>
                <c:pt idx="10">
                  <c:v>0</c:v>
                </c:pt>
                <c:pt idx="11">
                  <c:v>0</c:v>
                </c:pt>
              </c:numCache>
            </c:numRef>
          </c:xVal>
          <c:yVal>
            <c:numRef>
              <c:f>bourrie1999!$AP$31:$AP$42</c:f>
              <c:numCach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bourrie1999!$AL$31:$AL$42</c:f>
              <c:numCache>
                <c:ptCount val="12"/>
                <c:pt idx="0">
                  <c:v>0</c:v>
                </c:pt>
                <c:pt idx="1">
                  <c:v>0</c:v>
                </c:pt>
                <c:pt idx="2">
                  <c:v>0</c:v>
                </c:pt>
                <c:pt idx="3">
                  <c:v>0</c:v>
                </c:pt>
                <c:pt idx="4">
                  <c:v>0</c:v>
                </c:pt>
                <c:pt idx="5">
                  <c:v>0</c:v>
                </c:pt>
                <c:pt idx="6">
                  <c:v>0</c:v>
                </c:pt>
                <c:pt idx="7">
                  <c:v>0</c:v>
                </c:pt>
                <c:pt idx="8">
                  <c:v>0</c:v>
                </c:pt>
                <c:pt idx="9">
                  <c:v>0</c:v>
                </c:pt>
                <c:pt idx="10">
                  <c:v>0</c:v>
                </c:pt>
                <c:pt idx="11">
                  <c:v>0</c:v>
                </c:pt>
              </c:numCache>
            </c:numRef>
          </c:xVal>
          <c:yVal>
            <c:numRef>
              <c:f>bourrie1999!$AQ$31:$AQ$42</c:f>
              <c:numCach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0"/>
        </c:ser>
        <c:axId val="25100981"/>
        <c:axId val="24582238"/>
      </c:scatterChart>
      <c:valAx>
        <c:axId val="25100981"/>
        <c:scaling>
          <c:orientation val="minMax"/>
        </c:scaling>
        <c:axPos val="b"/>
        <c:delete val="0"/>
        <c:numFmt formatCode="General" sourceLinked="1"/>
        <c:majorTickMark val="out"/>
        <c:minorTickMark val="none"/>
        <c:tickLblPos val="nextTo"/>
        <c:crossAx val="24582238"/>
        <c:crosses val="autoZero"/>
        <c:crossBetween val="midCat"/>
        <c:dispUnits/>
      </c:valAx>
      <c:valAx>
        <c:axId val="24582238"/>
        <c:scaling>
          <c:orientation val="minMax"/>
        </c:scaling>
        <c:axPos val="l"/>
        <c:majorGridlines/>
        <c:delete val="0"/>
        <c:numFmt formatCode="General" sourceLinked="1"/>
        <c:majorTickMark val="out"/>
        <c:minorTickMark val="none"/>
        <c:tickLblPos val="nextTo"/>
        <c:crossAx val="25100981"/>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correlation</a:t>
            </a:r>
          </a:p>
        </c:rich>
      </c:tx>
      <c:layout>
        <c:manualLayout>
          <c:xMode val="factor"/>
          <c:yMode val="factor"/>
          <c:x val="0.2585"/>
          <c:y val="0.12475"/>
        </c:manualLayout>
      </c:layout>
      <c:spPr>
        <a:noFill/>
        <a:ln>
          <a:noFill/>
        </a:ln>
      </c:spPr>
    </c:title>
    <c:plotArea>
      <c:layout>
        <c:manualLayout>
          <c:xMode val="edge"/>
          <c:yMode val="edge"/>
          <c:x val="0.0935"/>
          <c:y val="0.0805"/>
          <c:w val="0.527"/>
          <c:h val="0.8845"/>
        </c:manualLayout>
      </c:layout>
      <c:scatterChart>
        <c:scatterStyle val="lineMarker"/>
        <c:varyColors val="0"/>
        <c:ser>
          <c:idx val="0"/>
          <c:order val="0"/>
          <c:tx>
            <c:strRef>
              <c:f>bourrie1999!$P$30</c:f>
              <c:strCache>
                <c:ptCount val="1"/>
                <c:pt idx="0">
                  <c:v>log( IRB)</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numFmt formatCode="General"/>
            </c:trendlineLbl>
          </c:trendline>
          <c:xVal>
            <c:numRef>
              <c:f>bourrie1999!$O$31:$O$43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bourrie1999!$P$31:$P$43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ser>
        <c:ser>
          <c:idx val="1"/>
          <c:order val="1"/>
          <c:tx>
            <c:strRef>
              <c:f>bourrie1999!$Q$30</c:f>
              <c:strCache>
                <c:ptCount val="1"/>
                <c:pt idx="0">
                  <c:v>log(7-ER)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trendline>
            <c:trendlineType val="linear"/>
            <c:dispEq val="1"/>
            <c:dispRSqr val="1"/>
            <c:trendlineLbl>
              <c:numFmt formatCode="General"/>
            </c:trendlineLbl>
          </c:trendline>
          <c:xVal>
            <c:numRef>
              <c:f>bourrie1999!$O$31:$O$43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bourrie1999!$Q$31:$Q$43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ser>
        <c:ser>
          <c:idx val="2"/>
          <c:order val="2"/>
          <c:tx>
            <c:strRef>
              <c:f>bourrie1999!$R$30</c:f>
              <c:strCache>
                <c:ptCount val="1"/>
                <c:pt idx="0">
                  <c:v>log(POD)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bourrie1999!$O$31:$O$43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bourrie1999!$R$31:$R$43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ser>
        <c:ser>
          <c:idx val="3"/>
          <c:order val="3"/>
          <c:tx>
            <c:strRef>
              <c:f>bourrie1999!$S$30</c:f>
              <c:strCache>
                <c:ptCount val="1"/>
                <c:pt idx="0">
                  <c:v>log(COH)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trendline>
            <c:trendlineType val="linear"/>
            <c:dispEq val="1"/>
            <c:dispRSqr val="1"/>
            <c:trendlineLbl>
              <c:numFmt formatCode="General"/>
            </c:trendlineLbl>
          </c:trendline>
          <c:xVal>
            <c:numRef>
              <c:f>bourrie1999!$O$31:$O$43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bourrie1999!$S$31:$S$43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ser>
        <c:ser>
          <c:idx val="4"/>
          <c:order val="4"/>
          <c:tx>
            <c:strRef>
              <c:f>bourrie1999!$T$30</c:f>
              <c:strCache>
                <c:ptCount val="1"/>
                <c:pt idx="0">
                  <c:v>log(DOD)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trendline>
            <c:trendlineType val="linear"/>
            <c:dispEq val="1"/>
            <c:dispRSqr val="1"/>
            <c:trendlineLbl>
              <c:numFmt formatCode="General"/>
            </c:trendlineLbl>
          </c:trendline>
          <c:trendline>
            <c:trendlineType val="linear"/>
            <c:dispEq val="1"/>
            <c:dispRSqr val="1"/>
            <c:trendlineLbl>
              <c:numFmt formatCode="General"/>
            </c:trendlineLbl>
          </c:trendline>
          <c:xVal>
            <c:numRef>
              <c:f>bourrie1999!$O$31:$O$43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bourrie1999!$T$31:$T$43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ser>
        <c:ser>
          <c:idx val="5"/>
          <c:order val="5"/>
          <c:tx>
            <c:strRef>
              <c:f>bourrie1999!$U$30</c:f>
              <c:strCache>
                <c:ptCount val="1"/>
                <c:pt idx="0">
                  <c:v>log(TOH)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marker>
          <c:trendline>
            <c:trendlineType val="linear"/>
            <c:dispEq val="1"/>
            <c:dispRSqr val="1"/>
            <c:trendlineLbl>
              <c:numFmt formatCode="General"/>
            </c:trendlineLbl>
          </c:trendline>
          <c:xVal>
            <c:numRef>
              <c:f>bourrie1999!$O$31:$O$43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bourrie1999!$U$31:$U$43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ser>
        <c:ser>
          <c:idx val="6"/>
          <c:order val="6"/>
          <c:tx>
            <c:strRef>
              <c:f>bourrie1999!$V$30</c:f>
              <c:strCache>
                <c:ptCount val="1"/>
                <c:pt idx="0">
                  <c:v>log (AOH)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marker>
          <c:trendline>
            <c:trendlineType val="linear"/>
            <c:dispEq val="1"/>
            <c:dispRSqr val="1"/>
            <c:trendlineLbl>
              <c:numFmt formatCode="General"/>
            </c:trendlineLbl>
          </c:trendline>
          <c:trendline>
            <c:trendlineType val="linear"/>
            <c:dispEq val="1"/>
            <c:dispRSqr val="1"/>
            <c:trendlineLbl>
              <c:numFmt formatCode="General"/>
            </c:trendlineLbl>
          </c:trendline>
          <c:xVal>
            <c:numRef>
              <c:f>bourrie1999!$O$31:$O$43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bourrie1999!$V$31:$V$43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ser>
        <c:ser>
          <c:idx val="7"/>
          <c:order val="7"/>
          <c:tx>
            <c:strRef>
              <c:f>bourrie1999!$W$30</c:f>
              <c:strCache>
                <c:ptCount val="1"/>
                <c:pt idx="0">
                  <c:v>log (NDH)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ot"/>
          </c:marker>
          <c:trendline>
            <c:trendlineType val="linear"/>
            <c:dispEq val="1"/>
            <c:dispRSqr val="1"/>
            <c:trendlineLbl>
              <c:numFmt formatCode="General"/>
            </c:trendlineLbl>
          </c:trendline>
          <c:xVal>
            <c:numRef>
              <c:f>bourrie1999!$O$31:$O$43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bourrie1999!$W$31:$W$43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ser>
        <c:axId val="19913551"/>
        <c:axId val="45004232"/>
      </c:scatterChart>
      <c:valAx>
        <c:axId val="19913551"/>
        <c:scaling>
          <c:orientation val="minMax"/>
        </c:scaling>
        <c:axPos val="b"/>
        <c:title>
          <c:tx>
            <c:rich>
              <a:bodyPr vert="horz" rot="0" anchor="ctr"/>
              <a:lstStyle/>
              <a:p>
                <a:pPr algn="ctr">
                  <a:defRPr/>
                </a:pPr>
                <a:r>
                  <a:rPr lang="en-US" cap="none" sz="1000" b="1" i="0" u="none" baseline="0">
                    <a:latin typeface="Arial"/>
                    <a:ea typeface="Arial"/>
                    <a:cs typeface="Arial"/>
                  </a:rPr>
                  <a:t>p450</a:t>
                </a:r>
              </a:p>
            </c:rich>
          </c:tx>
          <c:layout/>
          <c:overlay val="0"/>
          <c:spPr>
            <a:noFill/>
            <a:ln>
              <a:noFill/>
            </a:ln>
          </c:spPr>
        </c:title>
        <c:delete val="0"/>
        <c:numFmt formatCode="General" sourceLinked="1"/>
        <c:majorTickMark val="out"/>
        <c:minorTickMark val="none"/>
        <c:tickLblPos val="nextTo"/>
        <c:crossAx val="45004232"/>
        <c:crosses val="autoZero"/>
        <c:crossBetween val="midCat"/>
        <c:dispUnits/>
      </c:valAx>
      <c:valAx>
        <c:axId val="45004232"/>
        <c:scaling>
          <c:orientation val="minMax"/>
        </c:scaling>
        <c:axPos val="l"/>
        <c:title>
          <c:tx>
            <c:rich>
              <a:bodyPr vert="horz" rot="-5400000" anchor="ctr"/>
              <a:lstStyle/>
              <a:p>
                <a:pPr algn="ctr">
                  <a:defRPr/>
                </a:pPr>
                <a:r>
                  <a:rPr lang="en-US" cap="none" sz="1000" b="1" i="0" u="none" baseline="0">
                    <a:latin typeface="Arial"/>
                    <a:ea typeface="Arial"/>
                    <a:cs typeface="Arial"/>
                  </a:rPr>
                  <a:t>activity</a:t>
                </a:r>
              </a:p>
            </c:rich>
          </c:tx>
          <c:layout/>
          <c:overlay val="0"/>
          <c:spPr>
            <a:noFill/>
            <a:ln>
              <a:noFill/>
            </a:ln>
          </c:spPr>
        </c:title>
        <c:majorGridlines/>
        <c:delete val="0"/>
        <c:numFmt formatCode="General" sourceLinked="1"/>
        <c:majorTickMark val="out"/>
        <c:minorTickMark val="none"/>
        <c:tickLblPos val="nextTo"/>
        <c:crossAx val="19913551"/>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zScore 2-Hydroxylation</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'shiraga, 2004'!$E$16:$E$46</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xVal>
          <c:yVal>
            <c:numRef>
              <c:f>'shiraga, 2004'!$F$16:$F$46</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yVal>
          <c:smooth val="0"/>
        </c:ser>
        <c:axId val="2384905"/>
        <c:axId val="21464146"/>
      </c:scatterChart>
      <c:valAx>
        <c:axId val="2384905"/>
        <c:scaling>
          <c:orientation val="minMax"/>
        </c:scaling>
        <c:axPos val="b"/>
        <c:title>
          <c:tx>
            <c:rich>
              <a:bodyPr vert="horz" rot="0" anchor="ctr"/>
              <a:lstStyle/>
              <a:p>
                <a:pPr algn="ctr">
                  <a:defRPr/>
                </a:pPr>
                <a:r>
                  <a:rPr lang="en-US" cap="none" sz="1025"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21464146"/>
        <c:crosses val="autoZero"/>
        <c:crossBetween val="midCat"/>
        <c:dispUnits/>
      </c:valAx>
      <c:valAx>
        <c:axId val="21464146"/>
        <c:scaling>
          <c:orientation val="minMax"/>
        </c:scaling>
        <c:axPos val="l"/>
        <c:title>
          <c:tx>
            <c:rich>
              <a:bodyPr vert="horz" rot="-5400000" anchor="ctr"/>
              <a:lstStyle/>
              <a:p>
                <a:pPr algn="ctr">
                  <a:defRPr/>
                </a:pPr>
                <a:r>
                  <a:rPr lang="en-US" cap="none" sz="1025" b="1" i="0" u="none" baseline="0">
                    <a:latin typeface="Arial"/>
                    <a:ea typeface="Arial"/>
                    <a:cs typeface="Arial"/>
                  </a:rPr>
                  <a:t>2 Hydroxylation</a:t>
                </a:r>
              </a:p>
            </c:rich>
          </c:tx>
          <c:layout/>
          <c:overlay val="0"/>
          <c:spPr>
            <a:noFill/>
            <a:ln>
              <a:noFill/>
            </a:ln>
          </c:spPr>
        </c:title>
        <c:majorGridlines/>
        <c:delete val="0"/>
        <c:numFmt formatCode="General" sourceLinked="1"/>
        <c:majorTickMark val="out"/>
        <c:minorTickMark val="none"/>
        <c:tickLblPos val="nextTo"/>
        <c:crossAx val="2384905"/>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z score log 2-hydrox activity</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'shiraga, 2004'!$E$16:$E$46</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xVal>
          <c:yVal>
            <c:numRef>
              <c:f>'shiraga, 2004'!$G$16:$G$46</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yVal>
          <c:smooth val="0"/>
        </c:ser>
        <c:axId val="58959587"/>
        <c:axId val="60874236"/>
      </c:scatterChart>
      <c:valAx>
        <c:axId val="58959587"/>
        <c:scaling>
          <c:orientation val="minMax"/>
        </c:scaling>
        <c:axPos val="b"/>
        <c:title>
          <c:tx>
            <c:rich>
              <a:bodyPr vert="horz" rot="0" anchor="ctr"/>
              <a:lstStyle/>
              <a:p>
                <a:pPr algn="ctr">
                  <a:defRPr/>
                </a:pPr>
                <a:r>
                  <a:rPr lang="en-US" cap="none" sz="1025"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60874236"/>
        <c:crosses val="autoZero"/>
        <c:crossBetween val="midCat"/>
        <c:dispUnits/>
      </c:valAx>
      <c:valAx>
        <c:axId val="60874236"/>
        <c:scaling>
          <c:orientation val="minMax"/>
        </c:scaling>
        <c:axPos val="l"/>
        <c:title>
          <c:tx>
            <c:rich>
              <a:bodyPr vert="horz" rot="-5400000" anchor="ctr"/>
              <a:lstStyle/>
              <a:p>
                <a:pPr algn="ctr">
                  <a:defRPr/>
                </a:pPr>
                <a:r>
                  <a:rPr lang="en-US" cap="none" sz="1025" b="1" i="0" u="none" baseline="0">
                    <a:latin typeface="Arial"/>
                    <a:ea typeface="Arial"/>
                    <a:cs typeface="Arial"/>
                  </a:rPr>
                  <a:t>log 2-Hydrox</a:t>
                </a:r>
              </a:p>
            </c:rich>
          </c:tx>
          <c:layout/>
          <c:overlay val="0"/>
          <c:spPr>
            <a:noFill/>
            <a:ln>
              <a:noFill/>
            </a:ln>
          </c:spPr>
        </c:title>
        <c:majorGridlines/>
        <c:delete val="0"/>
        <c:numFmt formatCode="General" sourceLinked="1"/>
        <c:majorTickMark val="out"/>
        <c:minorTickMark val="none"/>
        <c:tickLblPos val="nextTo"/>
        <c:crossAx val="58959587"/>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Z Score 3-glucoronidation</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'shiraga, 2004'!$N$16:$N$46</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xVal>
          <c:yVal>
            <c:numRef>
              <c:f>'shiraga, 2004'!$O$16:$O$46</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yVal>
          <c:smooth val="0"/>
        </c:ser>
        <c:axId val="10997213"/>
        <c:axId val="31866054"/>
      </c:scatterChart>
      <c:valAx>
        <c:axId val="10997213"/>
        <c:scaling>
          <c:orientation val="minMax"/>
        </c:scaling>
        <c:axPos val="b"/>
        <c:title>
          <c:tx>
            <c:rich>
              <a:bodyPr vert="horz" rot="0" anchor="ctr"/>
              <a:lstStyle/>
              <a:p>
                <a:pPr algn="ctr">
                  <a:defRPr/>
                </a:pPr>
                <a:r>
                  <a:rPr lang="en-US" cap="none" sz="1025"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31866054"/>
        <c:crosses val="autoZero"/>
        <c:crossBetween val="midCat"/>
        <c:dispUnits/>
      </c:valAx>
      <c:valAx>
        <c:axId val="31866054"/>
        <c:scaling>
          <c:orientation val="minMax"/>
        </c:scaling>
        <c:axPos val="l"/>
        <c:title>
          <c:tx>
            <c:rich>
              <a:bodyPr vert="horz" rot="-5400000" anchor="ctr"/>
              <a:lstStyle/>
              <a:p>
                <a:pPr algn="ctr">
                  <a:defRPr/>
                </a:pPr>
                <a:r>
                  <a:rPr lang="en-US" cap="none" sz="1025" b="1" i="0" u="none" baseline="0">
                    <a:latin typeface="Arial"/>
                    <a:ea typeface="Arial"/>
                    <a:cs typeface="Arial"/>
                  </a:rPr>
                  <a:t>3-Glucoronidation</a:t>
                </a:r>
              </a:p>
            </c:rich>
          </c:tx>
          <c:layout/>
          <c:overlay val="0"/>
          <c:spPr>
            <a:noFill/>
            <a:ln>
              <a:noFill/>
            </a:ln>
          </c:spPr>
        </c:title>
        <c:majorGridlines/>
        <c:delete val="0"/>
        <c:numFmt formatCode="General" sourceLinked="1"/>
        <c:majorTickMark val="out"/>
        <c:minorTickMark val="none"/>
        <c:tickLblPos val="nextTo"/>
        <c:crossAx val="10997213"/>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Z score log 3-glucoronidation</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'shiraga, 2004'!$N$16:$N$46</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xVal>
          <c:yVal>
            <c:numRef>
              <c:f>'shiraga, 2004'!$P$16:$P$46</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yVal>
          <c:smooth val="0"/>
        </c:ser>
        <c:axId val="18359031"/>
        <c:axId val="31013552"/>
      </c:scatterChart>
      <c:valAx>
        <c:axId val="18359031"/>
        <c:scaling>
          <c:orientation val="minMax"/>
        </c:scaling>
        <c:axPos val="b"/>
        <c:title>
          <c:tx>
            <c:rich>
              <a:bodyPr vert="horz" rot="0" anchor="ctr"/>
              <a:lstStyle/>
              <a:p>
                <a:pPr algn="ctr">
                  <a:defRPr/>
                </a:pPr>
                <a:r>
                  <a:rPr lang="en-US" cap="none" sz="1000"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31013552"/>
        <c:crosses val="autoZero"/>
        <c:crossBetween val="midCat"/>
        <c:dispUnits/>
      </c:valAx>
      <c:valAx>
        <c:axId val="31013552"/>
        <c:scaling>
          <c:orientation val="minMax"/>
        </c:scaling>
        <c:axPos val="l"/>
        <c:title>
          <c:tx>
            <c:rich>
              <a:bodyPr vert="horz" rot="-5400000" anchor="ctr"/>
              <a:lstStyle/>
              <a:p>
                <a:pPr algn="ctr">
                  <a:defRPr/>
                </a:pPr>
                <a:r>
                  <a:rPr lang="en-US" cap="none" sz="1000" b="1" i="0" u="none" baseline="0">
                    <a:latin typeface="Arial"/>
                    <a:ea typeface="Arial"/>
                    <a:cs typeface="Arial"/>
                  </a:rPr>
                  <a:t>3-Glucoronidation</a:t>
                </a:r>
              </a:p>
            </c:rich>
          </c:tx>
          <c:layout/>
          <c:overlay val="0"/>
          <c:spPr>
            <a:noFill/>
            <a:ln>
              <a:noFill/>
            </a:ln>
          </c:spPr>
        </c:title>
        <c:majorGridlines/>
        <c:delete val="0"/>
        <c:numFmt formatCode="General" sourceLinked="1"/>
        <c:majorTickMark val="out"/>
        <c:minorTickMark val="none"/>
        <c:tickLblPos val="nextTo"/>
        <c:crossAx val="18359031"/>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Z Score 3-Sulfation of EE</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'shiraga, 2004'!$V$16:$V$35</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'shiraga, 2004'!$W$16:$W$35</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ser>
        <c:axId val="10686513"/>
        <c:axId val="29069754"/>
      </c:scatterChart>
      <c:valAx>
        <c:axId val="10686513"/>
        <c:scaling>
          <c:orientation val="minMax"/>
        </c:scaling>
        <c:axPos val="b"/>
        <c:title>
          <c:tx>
            <c:rich>
              <a:bodyPr vert="horz" rot="0" anchor="ctr"/>
              <a:lstStyle/>
              <a:p>
                <a:pPr algn="ctr">
                  <a:defRPr/>
                </a:pPr>
                <a:r>
                  <a:rPr lang="en-US" cap="none" sz="975"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29069754"/>
        <c:crosses val="autoZero"/>
        <c:crossBetween val="midCat"/>
        <c:dispUnits/>
      </c:valAx>
      <c:valAx>
        <c:axId val="29069754"/>
        <c:scaling>
          <c:orientation val="minMax"/>
        </c:scaling>
        <c:axPos val="l"/>
        <c:title>
          <c:tx>
            <c:rich>
              <a:bodyPr vert="horz" rot="-5400000" anchor="ctr"/>
              <a:lstStyle/>
              <a:p>
                <a:pPr algn="ctr">
                  <a:defRPr/>
                </a:pPr>
                <a:r>
                  <a:rPr lang="en-US" cap="none" sz="975" b="1" i="0" u="none" baseline="0">
                    <a:latin typeface="Arial"/>
                    <a:ea typeface="Arial"/>
                    <a:cs typeface="Arial"/>
                  </a:rPr>
                  <a:t>3-Sulfation of EE</a:t>
                </a:r>
              </a:p>
            </c:rich>
          </c:tx>
          <c:layout/>
          <c:overlay val="0"/>
          <c:spPr>
            <a:noFill/>
            <a:ln>
              <a:noFill/>
            </a:ln>
          </c:spPr>
        </c:title>
        <c:majorGridlines/>
        <c:delete val="0"/>
        <c:numFmt formatCode="General" sourceLinked="1"/>
        <c:majorTickMark val="out"/>
        <c:minorTickMark val="none"/>
        <c:tickLblPos val="nextTo"/>
        <c:crossAx val="10686513"/>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Z Score log 3-Sulfation of EE</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'shiraga, 2004'!$V$16:$V$35</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'shiraga, 2004'!$X$16:$X$35</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ser>
        <c:axId val="60301195"/>
        <c:axId val="5839844"/>
      </c:scatterChart>
      <c:valAx>
        <c:axId val="60301195"/>
        <c:scaling>
          <c:orientation val="minMax"/>
        </c:scaling>
        <c:axPos val="b"/>
        <c:title>
          <c:tx>
            <c:rich>
              <a:bodyPr vert="horz" rot="0" anchor="ctr"/>
              <a:lstStyle/>
              <a:p>
                <a:pPr algn="ctr">
                  <a:defRPr/>
                </a:pPr>
                <a:r>
                  <a:rPr lang="en-US" cap="none" sz="975"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5839844"/>
        <c:crosses val="autoZero"/>
        <c:crossBetween val="midCat"/>
        <c:dispUnits/>
      </c:valAx>
      <c:valAx>
        <c:axId val="5839844"/>
        <c:scaling>
          <c:orientation val="minMax"/>
        </c:scaling>
        <c:axPos val="l"/>
        <c:title>
          <c:tx>
            <c:rich>
              <a:bodyPr vert="horz" rot="-5400000" anchor="ctr"/>
              <a:lstStyle/>
              <a:p>
                <a:pPr algn="ctr">
                  <a:defRPr/>
                </a:pPr>
                <a:r>
                  <a:rPr lang="en-US" cap="none" sz="975" b="1" i="0" u="none" baseline="0">
                    <a:latin typeface="Arial"/>
                    <a:ea typeface="Arial"/>
                    <a:cs typeface="Arial"/>
                  </a:rPr>
                  <a:t>3-Sulfation of EE</a:t>
                </a:r>
              </a:p>
            </c:rich>
          </c:tx>
          <c:layout/>
          <c:overlay val="0"/>
          <c:spPr>
            <a:noFill/>
            <a:ln>
              <a:noFill/>
            </a:ln>
          </c:spPr>
        </c:title>
        <c:majorGridlines/>
        <c:delete val="0"/>
        <c:numFmt formatCode="General" sourceLinked="1"/>
        <c:majorTickMark val="out"/>
        <c:minorTickMark val="none"/>
        <c:tickLblPos val="nextTo"/>
        <c:crossAx val="60301195"/>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Vmax</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'Wandel 1998 '!$S$13:$S$28</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xVal>
          <c:yVal>
            <c:numRef>
              <c:f>'Wandel 1998 '!$Z$13:$Z$28</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yVal>
          <c:smooth val="0"/>
        </c:ser>
        <c:axId val="17089055"/>
        <c:axId val="19583768"/>
      </c:scatterChart>
      <c:valAx>
        <c:axId val="17089055"/>
        <c:scaling>
          <c:orientation val="minMax"/>
        </c:scaling>
        <c:axPos val="b"/>
        <c:title>
          <c:tx>
            <c:rich>
              <a:bodyPr vert="horz" rot="0" anchor="ctr"/>
              <a:lstStyle/>
              <a:p>
                <a:pPr algn="ctr">
                  <a:defRPr/>
                </a:pPr>
                <a:r>
                  <a:rPr lang="en-US" cap="none" sz="1000"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19583768"/>
        <c:crosses val="autoZero"/>
        <c:crossBetween val="midCat"/>
        <c:dispUnits/>
      </c:valAx>
      <c:valAx>
        <c:axId val="19583768"/>
        <c:scaling>
          <c:orientation val="minMax"/>
        </c:scaling>
        <c:axPos val="l"/>
        <c:title>
          <c:tx>
            <c:rich>
              <a:bodyPr vert="horz" rot="-5400000" anchor="ctr"/>
              <a:lstStyle/>
              <a:p>
                <a:pPr algn="ctr">
                  <a:defRPr/>
                </a:pPr>
                <a:r>
                  <a:rPr lang="en-US" cap="none" sz="1000" b="1" i="0" u="none" baseline="0">
                    <a:latin typeface="Arial"/>
                    <a:ea typeface="Arial"/>
                    <a:cs typeface="Arial"/>
                  </a:rPr>
                  <a:t>Vmax</a:t>
                </a:r>
              </a:p>
            </c:rich>
          </c:tx>
          <c:layout/>
          <c:overlay val="0"/>
          <c:spPr>
            <a:noFill/>
            <a:ln>
              <a:noFill/>
            </a:ln>
          </c:spPr>
        </c:title>
        <c:majorGridlines/>
        <c:delete val="0"/>
        <c:numFmt formatCode="General" sourceLinked="1"/>
        <c:majorTickMark val="out"/>
        <c:minorTickMark val="none"/>
        <c:tickLblPos val="nextTo"/>
        <c:crossAx val="17089055"/>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lamotrigine glucuronidation</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'magdalou 1992'!$I$9:$I$13</c:f>
              <c:numCache>
                <c:ptCount val="5"/>
                <c:pt idx="0">
                  <c:v>0</c:v>
                </c:pt>
                <c:pt idx="1">
                  <c:v>0</c:v>
                </c:pt>
                <c:pt idx="2">
                  <c:v>0</c:v>
                </c:pt>
                <c:pt idx="3">
                  <c:v>0</c:v>
                </c:pt>
                <c:pt idx="4">
                  <c:v>0</c:v>
                </c:pt>
              </c:numCache>
            </c:numRef>
          </c:xVal>
          <c:yVal>
            <c:numRef>
              <c:f>'magdalou 1992'!$J$9:$J$13</c:f>
              <c:numCache>
                <c:ptCount val="5"/>
                <c:pt idx="0">
                  <c:v>0</c:v>
                </c:pt>
                <c:pt idx="1">
                  <c:v>0</c:v>
                </c:pt>
                <c:pt idx="2">
                  <c:v>0</c:v>
                </c:pt>
                <c:pt idx="3">
                  <c:v>0</c:v>
                </c:pt>
                <c:pt idx="4">
                  <c:v>0</c:v>
                </c:pt>
              </c:numCache>
            </c:numRef>
          </c:yVal>
          <c:smooth val="0"/>
        </c:ser>
        <c:axId val="52558597"/>
        <c:axId val="3265326"/>
      </c:scatterChart>
      <c:valAx>
        <c:axId val="52558597"/>
        <c:scaling>
          <c:orientation val="minMax"/>
        </c:scaling>
        <c:axPos val="b"/>
        <c:title>
          <c:tx>
            <c:rich>
              <a:bodyPr vert="horz" rot="0" anchor="ctr"/>
              <a:lstStyle/>
              <a:p>
                <a:pPr algn="ctr">
                  <a:defRPr/>
                </a:pPr>
                <a:r>
                  <a:rPr lang="en-US" cap="none" sz="1000"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3265326"/>
        <c:crosses val="autoZero"/>
        <c:crossBetween val="midCat"/>
        <c:dispUnits/>
      </c:valAx>
      <c:valAx>
        <c:axId val="3265326"/>
        <c:scaling>
          <c:orientation val="minMax"/>
        </c:scaling>
        <c:axPos val="l"/>
        <c:title>
          <c:tx>
            <c:rich>
              <a:bodyPr vert="horz" rot="-5400000" anchor="ctr"/>
              <a:lstStyle/>
              <a:p>
                <a:pPr algn="ctr">
                  <a:defRPr/>
                </a:pPr>
                <a:r>
                  <a:rPr lang="en-US" cap="none" sz="1000" b="1" i="0" u="none" baseline="0">
                    <a:latin typeface="Arial"/>
                    <a:ea typeface="Arial"/>
                    <a:cs typeface="Arial"/>
                  </a:rPr>
                  <a:t>Activity nmol/min/mg protein</a:t>
                </a:r>
              </a:p>
            </c:rich>
          </c:tx>
          <c:layout/>
          <c:overlay val="0"/>
          <c:spPr>
            <a:noFill/>
            <a:ln>
              <a:noFill/>
            </a:ln>
          </c:spPr>
        </c:title>
        <c:majorGridlines/>
        <c:delete val="0"/>
        <c:numFmt formatCode="General" sourceLinked="1"/>
        <c:majorTickMark val="out"/>
        <c:minorTickMark val="none"/>
        <c:tickLblPos val="nextTo"/>
        <c:crossAx val="52558597"/>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lamotrigine glucuronidation</a:t>
            </a:r>
          </a:p>
        </c:rich>
      </c:tx>
      <c:layout/>
      <c:spPr>
        <a:noFill/>
        <a:ln>
          <a:noFill/>
        </a:ln>
      </c:spPr>
    </c:title>
    <c:plotArea>
      <c:layout/>
      <c:scatterChart>
        <c:scatterStyle val="lineMarker"/>
        <c:varyColors val="0"/>
        <c:ser>
          <c:idx val="0"/>
          <c:order val="0"/>
          <c:tx>
            <c:strRef>
              <c:f>'magdalou 1992'!$K$8</c:f>
              <c:strCache>
                <c:ptCount val="1"/>
                <c:pt idx="0">
                  <c:v>sorted log activity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0"/>
            <c:dispRSqr val="0"/>
          </c:trendline>
          <c:trendline>
            <c:trendlineType val="linear"/>
            <c:dispEq val="1"/>
            <c:dispRSqr val="1"/>
            <c:trendlineLbl>
              <c:layout>
                <c:manualLayout>
                  <c:x val="0"/>
                  <c:y val="0"/>
                </c:manualLayout>
              </c:layout>
              <c:numFmt formatCode="General"/>
            </c:trendlineLbl>
          </c:trendline>
          <c:xVal>
            <c:numRef>
              <c:f>'magdalou 1992'!$I$9:$I$13</c:f>
              <c:numCache>
                <c:ptCount val="5"/>
                <c:pt idx="0">
                  <c:v>0</c:v>
                </c:pt>
                <c:pt idx="1">
                  <c:v>0</c:v>
                </c:pt>
                <c:pt idx="2">
                  <c:v>0</c:v>
                </c:pt>
                <c:pt idx="3">
                  <c:v>0</c:v>
                </c:pt>
                <c:pt idx="4">
                  <c:v>0</c:v>
                </c:pt>
              </c:numCache>
            </c:numRef>
          </c:xVal>
          <c:yVal>
            <c:numRef>
              <c:f>'magdalou 1992'!$K$9:$K$13</c:f>
              <c:numCache>
                <c:ptCount val="5"/>
                <c:pt idx="0">
                  <c:v>0</c:v>
                </c:pt>
                <c:pt idx="1">
                  <c:v>0</c:v>
                </c:pt>
                <c:pt idx="2">
                  <c:v>0</c:v>
                </c:pt>
                <c:pt idx="3">
                  <c:v>0</c:v>
                </c:pt>
                <c:pt idx="4">
                  <c:v>0</c:v>
                </c:pt>
              </c:numCache>
            </c:numRef>
          </c:yVal>
          <c:smooth val="0"/>
        </c:ser>
        <c:axId val="29387935"/>
        <c:axId val="63164824"/>
      </c:scatterChart>
      <c:valAx>
        <c:axId val="29387935"/>
        <c:scaling>
          <c:orientation val="minMax"/>
        </c:scaling>
        <c:axPos val="b"/>
        <c:title>
          <c:tx>
            <c:rich>
              <a:bodyPr vert="horz" rot="0" anchor="ctr"/>
              <a:lstStyle/>
              <a:p>
                <a:pPr algn="ctr">
                  <a:defRPr/>
                </a:pPr>
                <a:r>
                  <a:rPr lang="en-US" cap="none" sz="1000"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63164824"/>
        <c:crosses val="autoZero"/>
        <c:crossBetween val="midCat"/>
        <c:dispUnits/>
      </c:valAx>
      <c:valAx>
        <c:axId val="63164824"/>
        <c:scaling>
          <c:orientation val="minMax"/>
        </c:scaling>
        <c:axPos val="l"/>
        <c:title>
          <c:tx>
            <c:rich>
              <a:bodyPr vert="horz" rot="-5400000" anchor="ctr"/>
              <a:lstStyle/>
              <a:p>
                <a:pPr algn="ctr">
                  <a:defRPr/>
                </a:pPr>
                <a:r>
                  <a:rPr lang="en-US" cap="none" sz="1000" b="1" i="0" u="none" baseline="0">
                    <a:latin typeface="Arial"/>
                    <a:ea typeface="Arial"/>
                    <a:cs typeface="Arial"/>
                  </a:rPr>
                  <a:t>Log Activity</a:t>
                </a:r>
              </a:p>
            </c:rich>
          </c:tx>
          <c:layout/>
          <c:overlay val="0"/>
          <c:spPr>
            <a:noFill/>
            <a:ln>
              <a:noFill/>
            </a:ln>
          </c:spPr>
        </c:title>
        <c:majorGridlines/>
        <c:delete val="0"/>
        <c:numFmt formatCode="General" sourceLinked="1"/>
        <c:majorTickMark val="out"/>
        <c:minorTickMark val="none"/>
        <c:tickLblPos val="nextTo"/>
        <c:crossAx val="29387935"/>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Vinblastine</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'zhou-pan 1993'!$J$11:$J$39</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xVal>
          <c:yVal>
            <c:numRef>
              <c:f>'zhou-pan 1993'!$K$11:$K$39</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yVal>
          <c:smooth val="0"/>
        </c:ser>
        <c:axId val="31612505"/>
        <c:axId val="16077090"/>
      </c:scatterChart>
      <c:valAx>
        <c:axId val="31612505"/>
        <c:scaling>
          <c:orientation val="minMax"/>
        </c:scaling>
        <c:axPos val="b"/>
        <c:title>
          <c:tx>
            <c:rich>
              <a:bodyPr vert="horz" rot="0" anchor="ctr"/>
              <a:lstStyle/>
              <a:p>
                <a:pPr algn="ctr">
                  <a:defRPr/>
                </a:pPr>
                <a:r>
                  <a:rPr lang="en-US" cap="none" sz="975"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16077090"/>
        <c:crosses val="autoZero"/>
        <c:crossBetween val="midCat"/>
        <c:dispUnits/>
      </c:valAx>
      <c:valAx>
        <c:axId val="16077090"/>
        <c:scaling>
          <c:orientation val="minMax"/>
        </c:scaling>
        <c:axPos val="l"/>
        <c:title>
          <c:tx>
            <c:rich>
              <a:bodyPr vert="horz" rot="-5400000" anchor="ctr"/>
              <a:lstStyle/>
              <a:p>
                <a:pPr algn="ctr">
                  <a:defRPr/>
                </a:pPr>
                <a:r>
                  <a:rPr lang="en-US" cap="none" sz="975" b="1" i="0" u="none" baseline="0">
                    <a:latin typeface="Arial"/>
                    <a:ea typeface="Arial"/>
                    <a:cs typeface="Arial"/>
                  </a:rPr>
                  <a:t>vinblastine metabolism</a:t>
                </a:r>
              </a:p>
            </c:rich>
          </c:tx>
          <c:layout/>
          <c:overlay val="0"/>
          <c:spPr>
            <a:noFill/>
            <a:ln>
              <a:noFill/>
            </a:ln>
          </c:spPr>
        </c:title>
        <c:majorGridlines/>
        <c:delete val="0"/>
        <c:numFmt formatCode="General" sourceLinked="1"/>
        <c:majorTickMark val="out"/>
        <c:minorTickMark val="none"/>
        <c:tickLblPos val="nextTo"/>
        <c:crossAx val="31612505"/>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vinblastine</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'zhou-pan 1993'!$J$11:$J$39</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xVal>
          <c:yVal>
            <c:numRef>
              <c:f>'zhou-pan 1993'!$L$11:$L$39</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yVal>
          <c:smooth val="0"/>
        </c:ser>
        <c:axId val="10476083"/>
        <c:axId val="27175884"/>
      </c:scatterChart>
      <c:valAx>
        <c:axId val="10476083"/>
        <c:scaling>
          <c:orientation val="minMax"/>
        </c:scaling>
        <c:axPos val="b"/>
        <c:title>
          <c:tx>
            <c:rich>
              <a:bodyPr vert="horz" rot="0" anchor="ctr"/>
              <a:lstStyle/>
              <a:p>
                <a:pPr algn="ctr">
                  <a:defRPr/>
                </a:pPr>
                <a:r>
                  <a:rPr lang="en-US" cap="none" sz="975"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27175884"/>
        <c:crosses val="autoZero"/>
        <c:crossBetween val="midCat"/>
        <c:dispUnits/>
      </c:valAx>
      <c:valAx>
        <c:axId val="27175884"/>
        <c:scaling>
          <c:orientation val="minMax"/>
        </c:scaling>
        <c:axPos val="l"/>
        <c:title>
          <c:tx>
            <c:rich>
              <a:bodyPr vert="horz" rot="-5400000" anchor="ctr"/>
              <a:lstStyle/>
              <a:p>
                <a:pPr algn="ctr">
                  <a:defRPr/>
                </a:pPr>
                <a:r>
                  <a:rPr lang="en-US" cap="none" sz="975" b="1" i="0" u="none" baseline="0">
                    <a:latin typeface="Arial"/>
                    <a:ea typeface="Arial"/>
                    <a:cs typeface="Arial"/>
                  </a:rPr>
                  <a:t>log biotrans</a:t>
                </a:r>
              </a:p>
            </c:rich>
          </c:tx>
          <c:layout/>
          <c:overlay val="0"/>
          <c:spPr>
            <a:noFill/>
            <a:ln>
              <a:noFill/>
            </a:ln>
          </c:spPr>
        </c:title>
        <c:majorGridlines/>
        <c:delete val="0"/>
        <c:numFmt formatCode="General" sourceLinked="1"/>
        <c:majorTickMark val="out"/>
        <c:minorTickMark val="none"/>
        <c:tickLblPos val="nextTo"/>
        <c:crossAx val="10476083"/>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N-desmethyldiazepam</a:t>
            </a:r>
          </a:p>
        </c:rich>
      </c:tx>
      <c:layout/>
      <c:spPr>
        <a:noFill/>
        <a:ln>
          <a:noFill/>
        </a:ln>
      </c:spPr>
    </c:title>
    <c:plotArea>
      <c:layout>
        <c:manualLayout>
          <c:xMode val="edge"/>
          <c:yMode val="edge"/>
          <c:x val="0.0645"/>
          <c:y val="0.17125"/>
          <c:w val="0.795"/>
          <c:h val="0.708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'inaba 1988'!$I$9:$I$18</c:f>
              <c:numCache>
                <c:ptCount val="10"/>
                <c:pt idx="0">
                  <c:v>0</c:v>
                </c:pt>
                <c:pt idx="1">
                  <c:v>0</c:v>
                </c:pt>
                <c:pt idx="2">
                  <c:v>0</c:v>
                </c:pt>
                <c:pt idx="3">
                  <c:v>0</c:v>
                </c:pt>
                <c:pt idx="4">
                  <c:v>0</c:v>
                </c:pt>
                <c:pt idx="5">
                  <c:v>0</c:v>
                </c:pt>
                <c:pt idx="6">
                  <c:v>0</c:v>
                </c:pt>
                <c:pt idx="7">
                  <c:v>0</c:v>
                </c:pt>
                <c:pt idx="8">
                  <c:v>0</c:v>
                </c:pt>
                <c:pt idx="9">
                  <c:v>0</c:v>
                </c:pt>
              </c:numCache>
            </c:numRef>
          </c:xVal>
          <c:yVal>
            <c:numRef>
              <c:f>'inaba 1988'!$J$9:$J$18</c:f>
              <c:numCache>
                <c:ptCount val="10"/>
                <c:pt idx="0">
                  <c:v>0</c:v>
                </c:pt>
                <c:pt idx="1">
                  <c:v>0</c:v>
                </c:pt>
                <c:pt idx="2">
                  <c:v>0</c:v>
                </c:pt>
                <c:pt idx="3">
                  <c:v>0</c:v>
                </c:pt>
                <c:pt idx="4">
                  <c:v>0</c:v>
                </c:pt>
                <c:pt idx="5">
                  <c:v>0</c:v>
                </c:pt>
                <c:pt idx="6">
                  <c:v>0</c:v>
                </c:pt>
                <c:pt idx="7">
                  <c:v>0</c:v>
                </c:pt>
                <c:pt idx="8">
                  <c:v>0</c:v>
                </c:pt>
                <c:pt idx="9">
                  <c:v>0</c:v>
                </c:pt>
              </c:numCache>
            </c:numRef>
          </c:yVal>
          <c:smooth val="0"/>
        </c:ser>
        <c:axId val="43256365"/>
        <c:axId val="53762966"/>
      </c:scatterChart>
      <c:valAx>
        <c:axId val="43256365"/>
        <c:scaling>
          <c:orientation val="minMax"/>
        </c:scaling>
        <c:axPos val="b"/>
        <c:title>
          <c:tx>
            <c:rich>
              <a:bodyPr vert="horz" rot="0" anchor="ctr"/>
              <a:lstStyle/>
              <a:p>
                <a:pPr algn="ctr">
                  <a:defRPr/>
                </a:pPr>
                <a:r>
                  <a:rPr lang="en-US" cap="none" sz="975"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53762966"/>
        <c:crosses val="autoZero"/>
        <c:crossBetween val="midCat"/>
        <c:dispUnits/>
      </c:valAx>
      <c:valAx>
        <c:axId val="53762966"/>
        <c:scaling>
          <c:orientation val="minMax"/>
        </c:scaling>
        <c:axPos val="l"/>
        <c:title>
          <c:tx>
            <c:rich>
              <a:bodyPr vert="horz" rot="-5400000" anchor="ctr"/>
              <a:lstStyle/>
              <a:p>
                <a:pPr algn="ctr">
                  <a:defRPr/>
                </a:pPr>
                <a:r>
                  <a:rPr lang="en-US" cap="none" sz="975" b="1" i="0" u="none" baseline="0">
                    <a:latin typeface="Arial"/>
                    <a:ea typeface="Arial"/>
                    <a:cs typeface="Arial"/>
                  </a:rPr>
                  <a:t>Vmax</a:t>
                </a:r>
              </a:p>
            </c:rich>
          </c:tx>
          <c:layout>
            <c:manualLayout>
              <c:xMode val="factor"/>
              <c:yMode val="factor"/>
              <c:x val="0.001"/>
              <c:y val="0.01175"/>
            </c:manualLayout>
          </c:layout>
          <c:overlay val="0"/>
          <c:spPr>
            <a:noFill/>
            <a:ln>
              <a:noFill/>
            </a:ln>
          </c:spPr>
        </c:title>
        <c:majorGridlines/>
        <c:delete val="0"/>
        <c:numFmt formatCode="General" sourceLinked="1"/>
        <c:majorTickMark val="out"/>
        <c:minorTickMark val="none"/>
        <c:tickLblPos val="nextTo"/>
        <c:crossAx val="43256365"/>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N-desmethydiazepam</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'inaba 1988'!$I$9:$I$18</c:f>
              <c:numCache>
                <c:ptCount val="10"/>
                <c:pt idx="0">
                  <c:v>0</c:v>
                </c:pt>
                <c:pt idx="1">
                  <c:v>0</c:v>
                </c:pt>
                <c:pt idx="2">
                  <c:v>0</c:v>
                </c:pt>
                <c:pt idx="3">
                  <c:v>0</c:v>
                </c:pt>
                <c:pt idx="4">
                  <c:v>0</c:v>
                </c:pt>
                <c:pt idx="5">
                  <c:v>0</c:v>
                </c:pt>
                <c:pt idx="6">
                  <c:v>0</c:v>
                </c:pt>
                <c:pt idx="7">
                  <c:v>0</c:v>
                </c:pt>
                <c:pt idx="8">
                  <c:v>0</c:v>
                </c:pt>
                <c:pt idx="9">
                  <c:v>0</c:v>
                </c:pt>
              </c:numCache>
            </c:numRef>
          </c:xVal>
          <c:yVal>
            <c:numRef>
              <c:f>'inaba 1988'!$K$9:$K$18</c:f>
              <c:numCache>
                <c:ptCount val="10"/>
                <c:pt idx="0">
                  <c:v>0</c:v>
                </c:pt>
                <c:pt idx="1">
                  <c:v>0</c:v>
                </c:pt>
                <c:pt idx="2">
                  <c:v>0</c:v>
                </c:pt>
                <c:pt idx="3">
                  <c:v>0</c:v>
                </c:pt>
                <c:pt idx="4">
                  <c:v>0</c:v>
                </c:pt>
                <c:pt idx="5">
                  <c:v>0</c:v>
                </c:pt>
                <c:pt idx="6">
                  <c:v>0</c:v>
                </c:pt>
                <c:pt idx="7">
                  <c:v>0</c:v>
                </c:pt>
                <c:pt idx="8">
                  <c:v>0</c:v>
                </c:pt>
                <c:pt idx="9">
                  <c:v>0</c:v>
                </c:pt>
              </c:numCache>
            </c:numRef>
          </c:yVal>
          <c:smooth val="0"/>
        </c:ser>
        <c:axId val="14104647"/>
        <c:axId val="59832960"/>
      </c:scatterChart>
      <c:valAx>
        <c:axId val="14104647"/>
        <c:scaling>
          <c:orientation val="minMax"/>
        </c:scaling>
        <c:axPos val="b"/>
        <c:title>
          <c:tx>
            <c:rich>
              <a:bodyPr vert="horz" rot="0" anchor="ctr"/>
              <a:lstStyle/>
              <a:p>
                <a:pPr algn="ctr">
                  <a:defRPr/>
                </a:pPr>
                <a:r>
                  <a:rPr lang="en-US" cap="none" sz="975"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59832960"/>
        <c:crosses val="autoZero"/>
        <c:crossBetween val="midCat"/>
        <c:dispUnits/>
      </c:valAx>
      <c:valAx>
        <c:axId val="59832960"/>
        <c:scaling>
          <c:orientation val="minMax"/>
        </c:scaling>
        <c:axPos val="l"/>
        <c:title>
          <c:tx>
            <c:rich>
              <a:bodyPr vert="horz" rot="-5400000" anchor="ctr"/>
              <a:lstStyle/>
              <a:p>
                <a:pPr algn="ctr">
                  <a:defRPr/>
                </a:pPr>
                <a:r>
                  <a:rPr lang="en-US" cap="none" sz="975" b="1" i="0" u="none" baseline="0">
                    <a:latin typeface="Arial"/>
                    <a:ea typeface="Arial"/>
                    <a:cs typeface="Arial"/>
                  </a:rPr>
                  <a:t>log Vmax</a:t>
                </a:r>
              </a:p>
            </c:rich>
          </c:tx>
          <c:layout/>
          <c:overlay val="0"/>
          <c:spPr>
            <a:noFill/>
            <a:ln>
              <a:noFill/>
            </a:ln>
          </c:spPr>
        </c:title>
        <c:majorGridlines/>
        <c:delete val="0"/>
        <c:numFmt formatCode="General" sourceLinked="1"/>
        <c:majorTickMark val="out"/>
        <c:minorTickMark val="none"/>
        <c:tickLblPos val="nextTo"/>
        <c:crossAx val="14104647"/>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Vmax 3-hydroxy</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'inaba 1988'!$S$9:$S$18</c:f>
              <c:numCache>
                <c:ptCount val="10"/>
                <c:pt idx="0">
                  <c:v>0</c:v>
                </c:pt>
                <c:pt idx="1">
                  <c:v>0</c:v>
                </c:pt>
                <c:pt idx="2">
                  <c:v>0</c:v>
                </c:pt>
                <c:pt idx="3">
                  <c:v>0</c:v>
                </c:pt>
                <c:pt idx="4">
                  <c:v>0</c:v>
                </c:pt>
                <c:pt idx="5">
                  <c:v>0</c:v>
                </c:pt>
                <c:pt idx="6">
                  <c:v>0</c:v>
                </c:pt>
                <c:pt idx="7">
                  <c:v>0</c:v>
                </c:pt>
                <c:pt idx="8">
                  <c:v>0</c:v>
                </c:pt>
                <c:pt idx="9">
                  <c:v>0</c:v>
                </c:pt>
              </c:numCache>
            </c:numRef>
          </c:xVal>
          <c:yVal>
            <c:numRef>
              <c:f>'inaba 1988'!$T$9:$T$18</c:f>
              <c:numCache>
                <c:ptCount val="10"/>
                <c:pt idx="0">
                  <c:v>0</c:v>
                </c:pt>
                <c:pt idx="1">
                  <c:v>0</c:v>
                </c:pt>
                <c:pt idx="2">
                  <c:v>0</c:v>
                </c:pt>
                <c:pt idx="3">
                  <c:v>0</c:v>
                </c:pt>
                <c:pt idx="4">
                  <c:v>0</c:v>
                </c:pt>
                <c:pt idx="5">
                  <c:v>0</c:v>
                </c:pt>
                <c:pt idx="6">
                  <c:v>0</c:v>
                </c:pt>
                <c:pt idx="7">
                  <c:v>0</c:v>
                </c:pt>
                <c:pt idx="8">
                  <c:v>0</c:v>
                </c:pt>
                <c:pt idx="9">
                  <c:v>0</c:v>
                </c:pt>
              </c:numCache>
            </c:numRef>
          </c:yVal>
          <c:smooth val="0"/>
        </c:ser>
        <c:axId val="1625729"/>
        <c:axId val="14631562"/>
      </c:scatterChart>
      <c:valAx>
        <c:axId val="1625729"/>
        <c:scaling>
          <c:orientation val="minMax"/>
        </c:scaling>
        <c:axPos val="b"/>
        <c:title>
          <c:tx>
            <c:rich>
              <a:bodyPr vert="horz" rot="0" anchor="ctr"/>
              <a:lstStyle/>
              <a:p>
                <a:pPr algn="ctr">
                  <a:defRPr/>
                </a:pPr>
                <a:r>
                  <a:rPr lang="en-US" cap="none" sz="975"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14631562"/>
        <c:crosses val="autoZero"/>
        <c:crossBetween val="midCat"/>
        <c:dispUnits/>
      </c:valAx>
      <c:valAx>
        <c:axId val="14631562"/>
        <c:scaling>
          <c:orientation val="minMax"/>
        </c:scaling>
        <c:axPos val="l"/>
        <c:title>
          <c:tx>
            <c:rich>
              <a:bodyPr vert="horz" rot="-5400000" anchor="ctr"/>
              <a:lstStyle/>
              <a:p>
                <a:pPr algn="ctr">
                  <a:defRPr/>
                </a:pPr>
                <a:r>
                  <a:rPr lang="en-US" cap="none" sz="975" b="1" i="0" u="none" baseline="0">
                    <a:latin typeface="Arial"/>
                    <a:ea typeface="Arial"/>
                    <a:cs typeface="Arial"/>
                  </a:rPr>
                  <a:t>Vmax</a:t>
                </a:r>
              </a:p>
            </c:rich>
          </c:tx>
          <c:layout/>
          <c:overlay val="0"/>
          <c:spPr>
            <a:noFill/>
            <a:ln>
              <a:noFill/>
            </a:ln>
          </c:spPr>
        </c:title>
        <c:majorGridlines/>
        <c:delete val="0"/>
        <c:numFmt formatCode="General" sourceLinked="1"/>
        <c:majorTickMark val="out"/>
        <c:minorTickMark val="none"/>
        <c:tickLblPos val="nextTo"/>
        <c:crossAx val="1625729"/>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3-hydroxy</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'inaba 1988'!$S$9:$S$18</c:f>
              <c:numCache>
                <c:ptCount val="10"/>
                <c:pt idx="0">
                  <c:v>0</c:v>
                </c:pt>
                <c:pt idx="1">
                  <c:v>0</c:v>
                </c:pt>
                <c:pt idx="2">
                  <c:v>0</c:v>
                </c:pt>
                <c:pt idx="3">
                  <c:v>0</c:v>
                </c:pt>
                <c:pt idx="4">
                  <c:v>0</c:v>
                </c:pt>
                <c:pt idx="5">
                  <c:v>0</c:v>
                </c:pt>
                <c:pt idx="6">
                  <c:v>0</c:v>
                </c:pt>
                <c:pt idx="7">
                  <c:v>0</c:v>
                </c:pt>
                <c:pt idx="8">
                  <c:v>0</c:v>
                </c:pt>
                <c:pt idx="9">
                  <c:v>0</c:v>
                </c:pt>
              </c:numCache>
            </c:numRef>
          </c:xVal>
          <c:yVal>
            <c:numRef>
              <c:f>'inaba 1988'!$U$9:$U$18</c:f>
              <c:numCache>
                <c:ptCount val="10"/>
                <c:pt idx="0">
                  <c:v>0</c:v>
                </c:pt>
                <c:pt idx="1">
                  <c:v>0</c:v>
                </c:pt>
                <c:pt idx="2">
                  <c:v>0</c:v>
                </c:pt>
                <c:pt idx="3">
                  <c:v>0</c:v>
                </c:pt>
                <c:pt idx="4">
                  <c:v>0</c:v>
                </c:pt>
                <c:pt idx="5">
                  <c:v>0</c:v>
                </c:pt>
                <c:pt idx="6">
                  <c:v>0</c:v>
                </c:pt>
                <c:pt idx="7">
                  <c:v>0</c:v>
                </c:pt>
                <c:pt idx="8">
                  <c:v>0</c:v>
                </c:pt>
                <c:pt idx="9">
                  <c:v>0</c:v>
                </c:pt>
              </c:numCache>
            </c:numRef>
          </c:yVal>
          <c:smooth val="0"/>
        </c:ser>
        <c:axId val="64575195"/>
        <c:axId val="44305844"/>
      </c:scatterChart>
      <c:valAx>
        <c:axId val="64575195"/>
        <c:scaling>
          <c:orientation val="minMax"/>
        </c:scaling>
        <c:axPos val="b"/>
        <c:title>
          <c:tx>
            <c:rich>
              <a:bodyPr vert="horz" rot="0" anchor="ctr"/>
              <a:lstStyle/>
              <a:p>
                <a:pPr algn="ctr">
                  <a:defRPr/>
                </a:pPr>
                <a:r>
                  <a:rPr lang="en-US" cap="none" sz="975"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44305844"/>
        <c:crosses val="autoZero"/>
        <c:crossBetween val="midCat"/>
        <c:dispUnits/>
      </c:valAx>
      <c:valAx>
        <c:axId val="44305844"/>
        <c:scaling>
          <c:orientation val="minMax"/>
        </c:scaling>
        <c:axPos val="l"/>
        <c:title>
          <c:tx>
            <c:rich>
              <a:bodyPr vert="horz" rot="-5400000" anchor="ctr"/>
              <a:lstStyle/>
              <a:p>
                <a:pPr algn="ctr">
                  <a:defRPr/>
                </a:pPr>
                <a:r>
                  <a:rPr lang="en-US" cap="none" sz="975" b="1" i="0" u="none" baseline="0">
                    <a:latin typeface="Arial"/>
                    <a:ea typeface="Arial"/>
                    <a:cs typeface="Arial"/>
                  </a:rPr>
                  <a:t>log Vmax</a:t>
                </a:r>
              </a:p>
            </c:rich>
          </c:tx>
          <c:layout/>
          <c:overlay val="0"/>
          <c:spPr>
            <a:noFill/>
            <a:ln>
              <a:noFill/>
            </a:ln>
          </c:spPr>
        </c:title>
        <c:majorGridlines/>
        <c:delete val="0"/>
        <c:numFmt formatCode="General" sourceLinked="1"/>
        <c:majorTickMark val="out"/>
        <c:minorTickMark val="none"/>
        <c:tickLblPos val="nextTo"/>
        <c:crossAx val="64575195"/>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TMZ Formation</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'inaba 1988'!$O$69:$O$78</c:f>
              <c:numCache>
                <c:ptCount val="10"/>
                <c:pt idx="0">
                  <c:v>0</c:v>
                </c:pt>
                <c:pt idx="1">
                  <c:v>0</c:v>
                </c:pt>
                <c:pt idx="2">
                  <c:v>0</c:v>
                </c:pt>
                <c:pt idx="3">
                  <c:v>0</c:v>
                </c:pt>
                <c:pt idx="4">
                  <c:v>0</c:v>
                </c:pt>
                <c:pt idx="5">
                  <c:v>0</c:v>
                </c:pt>
                <c:pt idx="6">
                  <c:v>0</c:v>
                </c:pt>
                <c:pt idx="7">
                  <c:v>0</c:v>
                </c:pt>
                <c:pt idx="8">
                  <c:v>0</c:v>
                </c:pt>
                <c:pt idx="9">
                  <c:v>0</c:v>
                </c:pt>
              </c:numCache>
            </c:numRef>
          </c:xVal>
          <c:yVal>
            <c:numRef>
              <c:f>'inaba 1988'!$S$69:$S$78</c:f>
              <c:numCache>
                <c:ptCount val="10"/>
                <c:pt idx="0">
                  <c:v>0</c:v>
                </c:pt>
                <c:pt idx="1">
                  <c:v>0</c:v>
                </c:pt>
                <c:pt idx="2">
                  <c:v>0</c:v>
                </c:pt>
                <c:pt idx="3">
                  <c:v>0</c:v>
                </c:pt>
                <c:pt idx="4">
                  <c:v>0</c:v>
                </c:pt>
                <c:pt idx="5">
                  <c:v>0</c:v>
                </c:pt>
                <c:pt idx="6">
                  <c:v>0</c:v>
                </c:pt>
                <c:pt idx="7">
                  <c:v>0</c:v>
                </c:pt>
                <c:pt idx="8">
                  <c:v>0</c:v>
                </c:pt>
                <c:pt idx="9">
                  <c:v>0</c:v>
                </c:pt>
              </c:numCache>
            </c:numRef>
          </c:yVal>
          <c:smooth val="0"/>
        </c:ser>
        <c:axId val="63208277"/>
        <c:axId val="32003582"/>
      </c:scatterChart>
      <c:valAx>
        <c:axId val="63208277"/>
        <c:scaling>
          <c:orientation val="minMax"/>
        </c:scaling>
        <c:axPos val="b"/>
        <c:title>
          <c:tx>
            <c:rich>
              <a:bodyPr vert="horz" rot="0" anchor="ctr"/>
              <a:lstStyle/>
              <a:p>
                <a:pPr algn="ctr">
                  <a:defRPr/>
                </a:pPr>
                <a:r>
                  <a:rPr lang="en-US" cap="none" sz="975"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32003582"/>
        <c:crosses val="autoZero"/>
        <c:crossBetween val="midCat"/>
        <c:dispUnits/>
      </c:valAx>
      <c:valAx>
        <c:axId val="32003582"/>
        <c:scaling>
          <c:orientation val="minMax"/>
        </c:scaling>
        <c:axPos val="l"/>
        <c:title>
          <c:tx>
            <c:rich>
              <a:bodyPr vert="horz" rot="-5400000" anchor="ctr"/>
              <a:lstStyle/>
              <a:p>
                <a:pPr algn="ctr">
                  <a:defRPr/>
                </a:pPr>
                <a:r>
                  <a:rPr lang="en-US" cap="none" sz="975" b="1" i="0" u="none" baseline="0">
                    <a:latin typeface="Arial"/>
                    <a:ea typeface="Arial"/>
                    <a:cs typeface="Arial"/>
                  </a:rPr>
                  <a:t>log Vmax/Km</a:t>
                </a:r>
              </a:p>
            </c:rich>
          </c:tx>
          <c:layout/>
          <c:overlay val="0"/>
          <c:spPr>
            <a:noFill/>
            <a:ln>
              <a:noFill/>
            </a:ln>
          </c:spPr>
        </c:title>
        <c:majorGridlines/>
        <c:delete val="0"/>
        <c:numFmt formatCode="General" sourceLinked="1"/>
        <c:majorTickMark val="out"/>
        <c:minorTickMark val="none"/>
        <c:tickLblPos val="nextTo"/>
        <c:crossAx val="63208277"/>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NDZ Formation</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'inaba 1988'!$O$69:$O$78</c:f>
              <c:numCache>
                <c:ptCount val="10"/>
                <c:pt idx="0">
                  <c:v>0</c:v>
                </c:pt>
                <c:pt idx="1">
                  <c:v>0</c:v>
                </c:pt>
                <c:pt idx="2">
                  <c:v>0</c:v>
                </c:pt>
                <c:pt idx="3">
                  <c:v>0</c:v>
                </c:pt>
                <c:pt idx="4">
                  <c:v>0</c:v>
                </c:pt>
                <c:pt idx="5">
                  <c:v>0</c:v>
                </c:pt>
                <c:pt idx="6">
                  <c:v>0</c:v>
                </c:pt>
                <c:pt idx="7">
                  <c:v>0</c:v>
                </c:pt>
                <c:pt idx="8">
                  <c:v>0</c:v>
                </c:pt>
                <c:pt idx="9">
                  <c:v>0</c:v>
                </c:pt>
              </c:numCache>
            </c:numRef>
          </c:xVal>
          <c:yVal>
            <c:numRef>
              <c:f>'inaba 1988'!$T$69:$T$78</c:f>
              <c:numCache>
                <c:ptCount val="10"/>
                <c:pt idx="0">
                  <c:v>0</c:v>
                </c:pt>
                <c:pt idx="1">
                  <c:v>0</c:v>
                </c:pt>
                <c:pt idx="2">
                  <c:v>0</c:v>
                </c:pt>
                <c:pt idx="3">
                  <c:v>0</c:v>
                </c:pt>
                <c:pt idx="4">
                  <c:v>0</c:v>
                </c:pt>
                <c:pt idx="5">
                  <c:v>0</c:v>
                </c:pt>
                <c:pt idx="6">
                  <c:v>0</c:v>
                </c:pt>
                <c:pt idx="7">
                  <c:v>0</c:v>
                </c:pt>
                <c:pt idx="8">
                  <c:v>0</c:v>
                </c:pt>
                <c:pt idx="9">
                  <c:v>0</c:v>
                </c:pt>
              </c:numCache>
            </c:numRef>
          </c:yVal>
          <c:smooth val="0"/>
        </c:ser>
        <c:axId val="19596783"/>
        <c:axId val="42153320"/>
      </c:scatterChart>
      <c:valAx>
        <c:axId val="19596783"/>
        <c:scaling>
          <c:orientation val="minMax"/>
        </c:scaling>
        <c:axPos val="b"/>
        <c:title>
          <c:tx>
            <c:rich>
              <a:bodyPr vert="horz" rot="0" anchor="ctr"/>
              <a:lstStyle/>
              <a:p>
                <a:pPr algn="ctr">
                  <a:defRPr/>
                </a:pPr>
                <a:r>
                  <a:rPr lang="en-US" cap="none" sz="975"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42153320"/>
        <c:crosses val="autoZero"/>
        <c:crossBetween val="midCat"/>
        <c:dispUnits/>
      </c:valAx>
      <c:valAx>
        <c:axId val="42153320"/>
        <c:scaling>
          <c:orientation val="minMax"/>
        </c:scaling>
        <c:axPos val="l"/>
        <c:title>
          <c:tx>
            <c:rich>
              <a:bodyPr vert="horz" rot="-5400000" anchor="ctr"/>
              <a:lstStyle/>
              <a:p>
                <a:pPr algn="ctr">
                  <a:defRPr/>
                </a:pPr>
                <a:r>
                  <a:rPr lang="en-US" cap="none" sz="975" b="1" i="0" u="none" baseline="0">
                    <a:latin typeface="Arial"/>
                    <a:ea typeface="Arial"/>
                    <a:cs typeface="Arial"/>
                  </a:rPr>
                  <a:t>log Cl</a:t>
                </a:r>
              </a:p>
            </c:rich>
          </c:tx>
          <c:layout/>
          <c:overlay val="0"/>
          <c:spPr>
            <a:noFill/>
            <a:ln>
              <a:noFill/>
            </a:ln>
          </c:spPr>
        </c:title>
        <c:delete val="0"/>
        <c:numFmt formatCode="General" sourceLinked="1"/>
        <c:majorTickMark val="out"/>
        <c:minorTickMark val="none"/>
        <c:tickLblPos val="nextTo"/>
        <c:crossAx val="19596783"/>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Vmax/ Km</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'Wandel 1998 '!$S$13:$S$28</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xVal>
          <c:yVal>
            <c:numRef>
              <c:f>'Wandel 1998 '!$AB$13:$AB$28</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yVal>
          <c:smooth val="0"/>
        </c:ser>
        <c:axId val="42036185"/>
        <c:axId val="42781346"/>
      </c:scatterChart>
      <c:valAx>
        <c:axId val="42036185"/>
        <c:scaling>
          <c:orientation val="minMax"/>
        </c:scaling>
        <c:axPos val="b"/>
        <c:title>
          <c:tx>
            <c:rich>
              <a:bodyPr vert="horz" rot="0" anchor="ctr"/>
              <a:lstStyle/>
              <a:p>
                <a:pPr algn="ctr">
                  <a:defRPr/>
                </a:pPr>
                <a:r>
                  <a:rPr lang="en-US" cap="none" sz="1000"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42781346"/>
        <c:crosses val="autoZero"/>
        <c:crossBetween val="midCat"/>
        <c:dispUnits/>
      </c:valAx>
      <c:valAx>
        <c:axId val="42781346"/>
        <c:scaling>
          <c:orientation val="minMax"/>
        </c:scaling>
        <c:axPos val="l"/>
        <c:title>
          <c:tx>
            <c:rich>
              <a:bodyPr vert="horz" rot="-5400000" anchor="ctr"/>
              <a:lstStyle/>
              <a:p>
                <a:pPr algn="ctr">
                  <a:defRPr/>
                </a:pPr>
                <a:r>
                  <a:rPr lang="en-US" cap="none" sz="1000" b="1" i="0" u="none" baseline="0">
                    <a:latin typeface="Arial"/>
                    <a:ea typeface="Arial"/>
                    <a:cs typeface="Arial"/>
                  </a:rPr>
                  <a:t>Vmax/Km</a:t>
                </a:r>
              </a:p>
            </c:rich>
          </c:tx>
          <c:layout/>
          <c:overlay val="0"/>
          <c:spPr>
            <a:noFill/>
            <a:ln>
              <a:noFill/>
            </a:ln>
          </c:spPr>
        </c:title>
        <c:majorGridlines/>
        <c:delete val="0"/>
        <c:numFmt formatCode="General" sourceLinked="1"/>
        <c:majorTickMark val="out"/>
        <c:minorTickMark val="none"/>
        <c:tickLblPos val="nextTo"/>
        <c:crossAx val="42036185"/>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MDZ1' -OH</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'thummel 1994'!$V$16:$V$20</c:f>
              <c:numCache>
                <c:ptCount val="5"/>
                <c:pt idx="0">
                  <c:v>0</c:v>
                </c:pt>
                <c:pt idx="1">
                  <c:v>0</c:v>
                </c:pt>
                <c:pt idx="2">
                  <c:v>0</c:v>
                </c:pt>
                <c:pt idx="3">
                  <c:v>0</c:v>
                </c:pt>
                <c:pt idx="4">
                  <c:v>0</c:v>
                </c:pt>
              </c:numCache>
            </c:numRef>
          </c:xVal>
          <c:yVal>
            <c:numRef>
              <c:f>'thummel 1994'!$X$16:$X$20</c:f>
              <c:numCache>
                <c:ptCount val="5"/>
                <c:pt idx="0">
                  <c:v>0</c:v>
                </c:pt>
                <c:pt idx="1">
                  <c:v>0</c:v>
                </c:pt>
                <c:pt idx="2">
                  <c:v>0</c:v>
                </c:pt>
                <c:pt idx="3">
                  <c:v>0</c:v>
                </c:pt>
                <c:pt idx="4">
                  <c:v>0</c:v>
                </c:pt>
              </c:numCache>
            </c:numRef>
          </c:yVal>
          <c:smooth val="0"/>
        </c:ser>
        <c:axId val="43835561"/>
        <c:axId val="58975730"/>
      </c:scatterChart>
      <c:valAx>
        <c:axId val="43835561"/>
        <c:scaling>
          <c:orientation val="minMax"/>
        </c:scaling>
        <c:axPos val="b"/>
        <c:title>
          <c:tx>
            <c:rich>
              <a:bodyPr vert="horz" rot="0" anchor="ctr"/>
              <a:lstStyle/>
              <a:p>
                <a:pPr algn="ctr">
                  <a:defRPr/>
                </a:pPr>
                <a:r>
                  <a:rPr lang="en-US" cap="none" sz="1000"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58975730"/>
        <c:crosses val="autoZero"/>
        <c:crossBetween val="midCat"/>
        <c:dispUnits/>
      </c:valAx>
      <c:valAx>
        <c:axId val="58975730"/>
        <c:scaling>
          <c:orientation val="minMax"/>
        </c:scaling>
        <c:axPos val="l"/>
        <c:title>
          <c:tx>
            <c:rich>
              <a:bodyPr vert="horz" rot="-5400000" anchor="ctr"/>
              <a:lstStyle/>
              <a:p>
                <a:pPr algn="ctr">
                  <a:defRPr/>
                </a:pPr>
                <a:r>
                  <a:rPr lang="en-US" cap="none" sz="1000" b="1" i="0" u="none" baseline="0">
                    <a:latin typeface="Arial"/>
                    <a:ea typeface="Arial"/>
                    <a:cs typeface="Arial"/>
                  </a:rPr>
                  <a:t>Km</a:t>
                </a:r>
              </a:p>
            </c:rich>
          </c:tx>
          <c:layout/>
          <c:overlay val="0"/>
          <c:spPr>
            <a:noFill/>
            <a:ln>
              <a:noFill/>
            </a:ln>
          </c:spPr>
        </c:title>
        <c:majorGridlines/>
        <c:delete val="0"/>
        <c:numFmt formatCode="General" sourceLinked="1"/>
        <c:majorTickMark val="out"/>
        <c:minorTickMark val="none"/>
        <c:tickLblPos val="nextTo"/>
        <c:crossAx val="43835561"/>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MDZ 1'OH</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'thummel 1994'!$V$16:$V$20</c:f>
              <c:numCache>
                <c:ptCount val="5"/>
                <c:pt idx="0">
                  <c:v>0</c:v>
                </c:pt>
                <c:pt idx="1">
                  <c:v>0</c:v>
                </c:pt>
                <c:pt idx="2">
                  <c:v>0</c:v>
                </c:pt>
                <c:pt idx="3">
                  <c:v>0</c:v>
                </c:pt>
                <c:pt idx="4">
                  <c:v>0</c:v>
                </c:pt>
              </c:numCache>
            </c:numRef>
          </c:xVal>
          <c:yVal>
            <c:numRef>
              <c:f>'thummel 1994'!$AC$16:$AC$20</c:f>
              <c:numCache>
                <c:ptCount val="5"/>
                <c:pt idx="0">
                  <c:v>0</c:v>
                </c:pt>
                <c:pt idx="1">
                  <c:v>0</c:v>
                </c:pt>
                <c:pt idx="2">
                  <c:v>0</c:v>
                </c:pt>
                <c:pt idx="3">
                  <c:v>0</c:v>
                </c:pt>
                <c:pt idx="4">
                  <c:v>0</c:v>
                </c:pt>
              </c:numCache>
            </c:numRef>
          </c:yVal>
          <c:smooth val="0"/>
        </c:ser>
        <c:axId val="61019523"/>
        <c:axId val="12304796"/>
      </c:scatterChart>
      <c:valAx>
        <c:axId val="61019523"/>
        <c:scaling>
          <c:orientation val="minMax"/>
        </c:scaling>
        <c:axPos val="b"/>
        <c:title>
          <c:tx>
            <c:rich>
              <a:bodyPr vert="horz" rot="0" anchor="ctr"/>
              <a:lstStyle/>
              <a:p>
                <a:pPr algn="ctr">
                  <a:defRPr/>
                </a:pPr>
                <a:r>
                  <a:rPr lang="en-US" cap="none" sz="1000"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12304796"/>
        <c:crosses val="autoZero"/>
        <c:crossBetween val="midCat"/>
        <c:dispUnits/>
      </c:valAx>
      <c:valAx>
        <c:axId val="12304796"/>
        <c:scaling>
          <c:orientation val="minMax"/>
        </c:scaling>
        <c:axPos val="l"/>
        <c:title>
          <c:tx>
            <c:rich>
              <a:bodyPr vert="horz" rot="-5400000" anchor="ctr"/>
              <a:lstStyle/>
              <a:p>
                <a:pPr algn="ctr">
                  <a:defRPr/>
                </a:pPr>
                <a:r>
                  <a:rPr lang="en-US" cap="none" sz="1000" b="1" i="0" u="none" baseline="0">
                    <a:latin typeface="Arial"/>
                    <a:ea typeface="Arial"/>
                    <a:cs typeface="Arial"/>
                  </a:rPr>
                  <a:t>Log Km</a:t>
                </a:r>
              </a:p>
            </c:rich>
          </c:tx>
          <c:layout/>
          <c:overlay val="0"/>
          <c:spPr>
            <a:noFill/>
            <a:ln>
              <a:noFill/>
            </a:ln>
          </c:spPr>
        </c:title>
        <c:majorGridlines/>
        <c:delete val="0"/>
        <c:numFmt formatCode="General" sourceLinked="1"/>
        <c:majorTickMark val="out"/>
        <c:minorTickMark val="none"/>
        <c:tickLblPos val="nextTo"/>
        <c:crossAx val="61019523"/>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1' OH MDZ</a:t>
            </a:r>
          </a:p>
        </c:rich>
      </c:tx>
      <c:layout/>
      <c:spPr>
        <a:noFill/>
        <a:ln>
          <a:noFill/>
        </a:ln>
      </c:spPr>
    </c:title>
    <c:plotArea>
      <c:layout>
        <c:manualLayout>
          <c:xMode val="edge"/>
          <c:yMode val="edge"/>
          <c:x val="0.09675"/>
          <c:y val="0.17775"/>
          <c:w val="0.70175"/>
          <c:h val="0.704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'thummel 1994'!$V$16:$V$20</c:f>
              <c:numCache>
                <c:ptCount val="5"/>
                <c:pt idx="0">
                  <c:v>0</c:v>
                </c:pt>
                <c:pt idx="1">
                  <c:v>0</c:v>
                </c:pt>
                <c:pt idx="2">
                  <c:v>0</c:v>
                </c:pt>
                <c:pt idx="3">
                  <c:v>0</c:v>
                </c:pt>
                <c:pt idx="4">
                  <c:v>0</c:v>
                </c:pt>
              </c:numCache>
            </c:numRef>
          </c:xVal>
          <c:yVal>
            <c:numRef>
              <c:f>'thummel 1994'!$Y$16:$Y$20</c:f>
              <c:numCache>
                <c:ptCount val="5"/>
                <c:pt idx="0">
                  <c:v>0</c:v>
                </c:pt>
                <c:pt idx="1">
                  <c:v>0</c:v>
                </c:pt>
                <c:pt idx="2">
                  <c:v>0</c:v>
                </c:pt>
                <c:pt idx="3">
                  <c:v>0</c:v>
                </c:pt>
                <c:pt idx="4">
                  <c:v>0</c:v>
                </c:pt>
              </c:numCache>
            </c:numRef>
          </c:yVal>
          <c:smooth val="0"/>
        </c:ser>
        <c:axId val="43634301"/>
        <c:axId val="57164390"/>
      </c:scatterChart>
      <c:valAx>
        <c:axId val="43634301"/>
        <c:scaling>
          <c:orientation val="minMax"/>
        </c:scaling>
        <c:axPos val="b"/>
        <c:title>
          <c:tx>
            <c:rich>
              <a:bodyPr vert="horz" rot="0" anchor="ctr"/>
              <a:lstStyle/>
              <a:p>
                <a:pPr algn="ctr">
                  <a:defRPr/>
                </a:pPr>
                <a:r>
                  <a:rPr lang="en-US" cap="none" sz="975" b="1" i="0" u="none" baseline="0">
                    <a:latin typeface="Arial"/>
                    <a:ea typeface="Arial"/>
                    <a:cs typeface="Arial"/>
                  </a:rPr>
                  <a:t>Z Score </a:t>
                </a:r>
              </a:p>
            </c:rich>
          </c:tx>
          <c:layout/>
          <c:overlay val="0"/>
          <c:spPr>
            <a:noFill/>
            <a:ln>
              <a:noFill/>
            </a:ln>
          </c:spPr>
        </c:title>
        <c:delete val="0"/>
        <c:numFmt formatCode="General" sourceLinked="1"/>
        <c:majorTickMark val="out"/>
        <c:minorTickMark val="none"/>
        <c:tickLblPos val="nextTo"/>
        <c:crossAx val="57164390"/>
        <c:crosses val="autoZero"/>
        <c:crossBetween val="midCat"/>
        <c:dispUnits/>
      </c:valAx>
      <c:valAx>
        <c:axId val="57164390"/>
        <c:scaling>
          <c:orientation val="minMax"/>
        </c:scaling>
        <c:axPos val="l"/>
        <c:title>
          <c:tx>
            <c:rich>
              <a:bodyPr vert="horz" rot="-5400000" anchor="ctr"/>
              <a:lstStyle/>
              <a:p>
                <a:pPr algn="ctr">
                  <a:defRPr/>
                </a:pPr>
                <a:r>
                  <a:rPr lang="en-US" cap="none" sz="975" b="1" i="0" u="none" baseline="0">
                    <a:latin typeface="Arial"/>
                    <a:ea typeface="Arial"/>
                    <a:cs typeface="Arial"/>
                  </a:rPr>
                  <a:t>S-13 Vmax</a:t>
                </a:r>
              </a:p>
            </c:rich>
          </c:tx>
          <c:layout/>
          <c:overlay val="0"/>
          <c:spPr>
            <a:noFill/>
            <a:ln>
              <a:noFill/>
            </a:ln>
          </c:spPr>
        </c:title>
        <c:majorGridlines/>
        <c:delete val="0"/>
        <c:numFmt formatCode="General" sourceLinked="1"/>
        <c:majorTickMark val="out"/>
        <c:minorTickMark val="none"/>
        <c:tickLblPos val="nextTo"/>
        <c:crossAx val="43634301"/>
        <c:crosses val="autoZero"/>
        <c:crossBetween val="midCat"/>
        <c:dispUnits/>
      </c:valAx>
      <c:spPr>
        <a:solidFill>
          <a:srgbClr val="C0C0C0"/>
        </a:solidFill>
        <a:ln w="12700">
          <a:solidFill>
            <a:srgbClr val="808080"/>
          </a:solidFill>
        </a:ln>
      </c:spPr>
    </c:plotArea>
    <c:legend>
      <c:legendPos val="r"/>
      <c:layout>
        <c:manualLayout>
          <c:xMode val="edge"/>
          <c:yMode val="edge"/>
          <c:x val="0.783"/>
          <c:y val="0.4095"/>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1'OH MDZ Formation</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'thummel 1994'!$V$16:$V$20</c:f>
              <c:numCache>
                <c:ptCount val="5"/>
                <c:pt idx="0">
                  <c:v>0</c:v>
                </c:pt>
                <c:pt idx="1">
                  <c:v>0</c:v>
                </c:pt>
                <c:pt idx="2">
                  <c:v>0</c:v>
                </c:pt>
                <c:pt idx="3">
                  <c:v>0</c:v>
                </c:pt>
                <c:pt idx="4">
                  <c:v>0</c:v>
                </c:pt>
              </c:numCache>
            </c:numRef>
          </c:xVal>
          <c:yVal>
            <c:numRef>
              <c:f>'thummel 1994'!$AD$16:$AD$20</c:f>
              <c:numCache>
                <c:ptCount val="5"/>
                <c:pt idx="0">
                  <c:v>0</c:v>
                </c:pt>
                <c:pt idx="1">
                  <c:v>0</c:v>
                </c:pt>
                <c:pt idx="2">
                  <c:v>0</c:v>
                </c:pt>
                <c:pt idx="3">
                  <c:v>0</c:v>
                </c:pt>
                <c:pt idx="4">
                  <c:v>0</c:v>
                </c:pt>
              </c:numCache>
            </c:numRef>
          </c:yVal>
          <c:smooth val="0"/>
        </c:ser>
        <c:axId val="44717463"/>
        <c:axId val="66912848"/>
      </c:scatterChart>
      <c:valAx>
        <c:axId val="44717463"/>
        <c:scaling>
          <c:orientation val="minMax"/>
        </c:scaling>
        <c:axPos val="b"/>
        <c:title>
          <c:tx>
            <c:rich>
              <a:bodyPr vert="horz" rot="0" anchor="ctr"/>
              <a:lstStyle/>
              <a:p>
                <a:pPr algn="ctr">
                  <a:defRPr/>
                </a:pPr>
                <a:r>
                  <a:rPr lang="en-US" cap="none" sz="975"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66912848"/>
        <c:crosses val="autoZero"/>
        <c:crossBetween val="midCat"/>
        <c:dispUnits/>
      </c:valAx>
      <c:valAx>
        <c:axId val="66912848"/>
        <c:scaling>
          <c:orientation val="minMax"/>
        </c:scaling>
        <c:axPos val="l"/>
        <c:title>
          <c:tx>
            <c:rich>
              <a:bodyPr vert="horz" rot="-5400000" anchor="ctr"/>
              <a:lstStyle/>
              <a:p>
                <a:pPr algn="ctr">
                  <a:defRPr/>
                </a:pPr>
                <a:r>
                  <a:rPr lang="en-US" cap="none" sz="975" b="1" i="0" u="none" baseline="0">
                    <a:latin typeface="Arial"/>
                    <a:ea typeface="Arial"/>
                    <a:cs typeface="Arial"/>
                  </a:rPr>
                  <a:t>Log S-13 Vmax</a:t>
                </a:r>
              </a:p>
            </c:rich>
          </c:tx>
          <c:layout/>
          <c:overlay val="0"/>
          <c:spPr>
            <a:noFill/>
            <a:ln>
              <a:noFill/>
            </a:ln>
          </c:spPr>
        </c:title>
        <c:majorGridlines/>
        <c:delete val="0"/>
        <c:numFmt formatCode="General" sourceLinked="1"/>
        <c:majorTickMark val="out"/>
        <c:minorTickMark val="none"/>
        <c:tickLblPos val="nextTo"/>
        <c:crossAx val="44717463"/>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1'-OH MDZ Formation</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'thummel 1994'!$V$16:$V$20</c:f>
              <c:numCache>
                <c:ptCount val="5"/>
                <c:pt idx="0">
                  <c:v>0</c:v>
                </c:pt>
                <c:pt idx="1">
                  <c:v>0</c:v>
                </c:pt>
                <c:pt idx="2">
                  <c:v>0</c:v>
                </c:pt>
                <c:pt idx="3">
                  <c:v>0</c:v>
                </c:pt>
                <c:pt idx="4">
                  <c:v>0</c:v>
                </c:pt>
              </c:numCache>
            </c:numRef>
          </c:xVal>
          <c:yVal>
            <c:numRef>
              <c:f>'thummel 1994'!$Z$16:$Z$20</c:f>
              <c:numCache>
                <c:ptCount val="5"/>
                <c:pt idx="0">
                  <c:v>0</c:v>
                </c:pt>
                <c:pt idx="1">
                  <c:v>0</c:v>
                </c:pt>
                <c:pt idx="2">
                  <c:v>0</c:v>
                </c:pt>
                <c:pt idx="3">
                  <c:v>0</c:v>
                </c:pt>
                <c:pt idx="4">
                  <c:v>0</c:v>
                </c:pt>
              </c:numCache>
            </c:numRef>
          </c:yVal>
          <c:smooth val="0"/>
        </c:ser>
        <c:axId val="65344721"/>
        <c:axId val="51231578"/>
      </c:scatterChart>
      <c:valAx>
        <c:axId val="65344721"/>
        <c:scaling>
          <c:orientation val="minMax"/>
        </c:scaling>
        <c:axPos val="b"/>
        <c:title>
          <c:tx>
            <c:rich>
              <a:bodyPr vert="horz" rot="0" anchor="ctr"/>
              <a:lstStyle/>
              <a:p>
                <a:pPr algn="ctr">
                  <a:defRPr/>
                </a:pPr>
                <a:r>
                  <a:rPr lang="en-US" cap="none" sz="975" b="1" i="0" u="none" baseline="0">
                    <a:latin typeface="Arial"/>
                    <a:ea typeface="Arial"/>
                    <a:cs typeface="Arial"/>
                  </a:rPr>
                  <a:t>Z Score </a:t>
                </a:r>
              </a:p>
            </c:rich>
          </c:tx>
          <c:layout/>
          <c:overlay val="0"/>
          <c:spPr>
            <a:noFill/>
            <a:ln>
              <a:noFill/>
            </a:ln>
          </c:spPr>
        </c:title>
        <c:delete val="0"/>
        <c:numFmt formatCode="General" sourceLinked="1"/>
        <c:majorTickMark val="out"/>
        <c:minorTickMark val="none"/>
        <c:tickLblPos val="nextTo"/>
        <c:crossAx val="51231578"/>
        <c:crosses val="autoZero"/>
        <c:crossBetween val="midCat"/>
        <c:dispUnits/>
      </c:valAx>
      <c:valAx>
        <c:axId val="51231578"/>
        <c:scaling>
          <c:orientation val="minMax"/>
        </c:scaling>
        <c:axPos val="l"/>
        <c:title>
          <c:tx>
            <c:rich>
              <a:bodyPr vert="horz" rot="-5400000" anchor="ctr"/>
              <a:lstStyle/>
              <a:p>
                <a:pPr algn="ctr">
                  <a:defRPr/>
                </a:pPr>
                <a:r>
                  <a:rPr lang="en-US" cap="none" sz="975" b="1" i="0" u="none" baseline="0">
                    <a:latin typeface="Arial"/>
                    <a:ea typeface="Arial"/>
                    <a:cs typeface="Arial"/>
                  </a:rPr>
                  <a:t>Vmax (Liver)</a:t>
                </a:r>
              </a:p>
            </c:rich>
          </c:tx>
          <c:layout/>
          <c:overlay val="0"/>
          <c:spPr>
            <a:noFill/>
            <a:ln>
              <a:noFill/>
            </a:ln>
          </c:spPr>
        </c:title>
        <c:majorGridlines/>
        <c:delete val="0"/>
        <c:numFmt formatCode="General" sourceLinked="1"/>
        <c:majorTickMark val="out"/>
        <c:minorTickMark val="none"/>
        <c:tickLblPos val="nextTo"/>
        <c:crossAx val="65344721"/>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1'-OH MDZ Formation</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'thummel 1994'!$V$16:$V$20</c:f>
              <c:numCache>
                <c:ptCount val="5"/>
                <c:pt idx="0">
                  <c:v>0</c:v>
                </c:pt>
                <c:pt idx="1">
                  <c:v>0</c:v>
                </c:pt>
                <c:pt idx="2">
                  <c:v>0</c:v>
                </c:pt>
                <c:pt idx="3">
                  <c:v>0</c:v>
                </c:pt>
                <c:pt idx="4">
                  <c:v>0</c:v>
                </c:pt>
              </c:numCache>
            </c:numRef>
          </c:xVal>
          <c:yVal>
            <c:numRef>
              <c:f>'thummel 1994'!$AE$16:$AE$20</c:f>
              <c:numCache>
                <c:ptCount val="5"/>
                <c:pt idx="0">
                  <c:v>0</c:v>
                </c:pt>
                <c:pt idx="1">
                  <c:v>0</c:v>
                </c:pt>
                <c:pt idx="2">
                  <c:v>0</c:v>
                </c:pt>
                <c:pt idx="3">
                  <c:v>0</c:v>
                </c:pt>
                <c:pt idx="4">
                  <c:v>0</c:v>
                </c:pt>
              </c:numCache>
            </c:numRef>
          </c:yVal>
          <c:smooth val="0"/>
        </c:ser>
        <c:axId val="58431019"/>
        <c:axId val="56117124"/>
      </c:scatterChart>
      <c:valAx>
        <c:axId val="58431019"/>
        <c:scaling>
          <c:orientation val="minMax"/>
        </c:scaling>
        <c:axPos val="b"/>
        <c:title>
          <c:tx>
            <c:rich>
              <a:bodyPr vert="horz" rot="0" anchor="ctr"/>
              <a:lstStyle/>
              <a:p>
                <a:pPr algn="ctr">
                  <a:defRPr/>
                </a:pPr>
                <a:r>
                  <a:rPr lang="en-US" cap="none" sz="975"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56117124"/>
        <c:crosses val="autoZero"/>
        <c:crossBetween val="midCat"/>
        <c:dispUnits/>
      </c:valAx>
      <c:valAx>
        <c:axId val="56117124"/>
        <c:scaling>
          <c:orientation val="minMax"/>
        </c:scaling>
        <c:axPos val="l"/>
        <c:title>
          <c:tx>
            <c:rich>
              <a:bodyPr vert="horz" rot="-5400000" anchor="ctr"/>
              <a:lstStyle/>
              <a:p>
                <a:pPr algn="ctr">
                  <a:defRPr/>
                </a:pPr>
                <a:r>
                  <a:rPr lang="en-US" cap="none" sz="975" b="1" i="0" u="none" baseline="0">
                    <a:latin typeface="Arial"/>
                    <a:ea typeface="Arial"/>
                    <a:cs typeface="Arial"/>
                  </a:rPr>
                  <a:t>Log Vmax (liver)</a:t>
                </a:r>
              </a:p>
            </c:rich>
          </c:tx>
          <c:layout/>
          <c:overlay val="0"/>
          <c:spPr>
            <a:noFill/>
            <a:ln>
              <a:noFill/>
            </a:ln>
          </c:spPr>
        </c:title>
        <c:majorGridlines/>
        <c:delete val="0"/>
        <c:numFmt formatCode="General" sourceLinked="1"/>
        <c:majorTickMark val="out"/>
        <c:minorTickMark val="none"/>
        <c:tickLblPos val="nextTo"/>
        <c:crossAx val="58431019"/>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1'-OH MDZ Formation</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'thummel 1994'!$V$16:$V$20</c:f>
              <c:numCache>
                <c:ptCount val="5"/>
                <c:pt idx="0">
                  <c:v>0</c:v>
                </c:pt>
                <c:pt idx="1">
                  <c:v>0</c:v>
                </c:pt>
                <c:pt idx="2">
                  <c:v>0</c:v>
                </c:pt>
                <c:pt idx="3">
                  <c:v>0</c:v>
                </c:pt>
                <c:pt idx="4">
                  <c:v>0</c:v>
                </c:pt>
              </c:numCache>
            </c:numRef>
          </c:xVal>
          <c:yVal>
            <c:numRef>
              <c:f>'thummel 1994'!$AA$16:$AA$20</c:f>
              <c:numCache>
                <c:ptCount val="5"/>
                <c:pt idx="0">
                  <c:v>0</c:v>
                </c:pt>
                <c:pt idx="1">
                  <c:v>0</c:v>
                </c:pt>
                <c:pt idx="2">
                  <c:v>0</c:v>
                </c:pt>
                <c:pt idx="3">
                  <c:v>0</c:v>
                </c:pt>
                <c:pt idx="4">
                  <c:v>0</c:v>
                </c:pt>
              </c:numCache>
            </c:numRef>
          </c:yVal>
          <c:smooth val="0"/>
        </c:ser>
        <c:axId val="35292069"/>
        <c:axId val="49193166"/>
      </c:scatterChart>
      <c:valAx>
        <c:axId val="35292069"/>
        <c:scaling>
          <c:orientation val="minMax"/>
        </c:scaling>
        <c:axPos val="b"/>
        <c:title>
          <c:tx>
            <c:rich>
              <a:bodyPr vert="horz" rot="0" anchor="ctr"/>
              <a:lstStyle/>
              <a:p>
                <a:pPr algn="ctr">
                  <a:defRPr/>
                </a:pPr>
                <a:r>
                  <a:rPr lang="en-US" cap="none" sz="975"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49193166"/>
        <c:crosses val="autoZero"/>
        <c:crossBetween val="midCat"/>
        <c:dispUnits/>
      </c:valAx>
      <c:valAx>
        <c:axId val="49193166"/>
        <c:scaling>
          <c:orientation val="minMax"/>
        </c:scaling>
        <c:axPos val="l"/>
        <c:title>
          <c:tx>
            <c:rich>
              <a:bodyPr vert="horz" rot="-5400000" anchor="ctr"/>
              <a:lstStyle/>
              <a:p>
                <a:pPr algn="ctr">
                  <a:defRPr/>
                </a:pPr>
                <a:r>
                  <a:rPr lang="en-US" cap="none" sz="975" b="1" i="0" u="none" baseline="0">
                    <a:latin typeface="Arial"/>
                    <a:ea typeface="Arial"/>
                    <a:cs typeface="Arial"/>
                  </a:rPr>
                  <a:t>Cl' int (liver)</a:t>
                </a:r>
              </a:p>
            </c:rich>
          </c:tx>
          <c:layout/>
          <c:overlay val="0"/>
          <c:spPr>
            <a:noFill/>
            <a:ln>
              <a:noFill/>
            </a:ln>
          </c:spPr>
        </c:title>
        <c:majorGridlines/>
        <c:delete val="0"/>
        <c:numFmt formatCode="General" sourceLinked="1"/>
        <c:majorTickMark val="out"/>
        <c:minorTickMark val="none"/>
        <c:tickLblPos val="nextTo"/>
        <c:crossAx val="35292069"/>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1'-OH MDZ Formation</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'thummel 1994'!$V$16:$V$20</c:f>
              <c:numCache>
                <c:ptCount val="5"/>
                <c:pt idx="0">
                  <c:v>0</c:v>
                </c:pt>
                <c:pt idx="1">
                  <c:v>0</c:v>
                </c:pt>
                <c:pt idx="2">
                  <c:v>0</c:v>
                </c:pt>
                <c:pt idx="3">
                  <c:v>0</c:v>
                </c:pt>
                <c:pt idx="4">
                  <c:v>0</c:v>
                </c:pt>
              </c:numCache>
            </c:numRef>
          </c:xVal>
          <c:yVal>
            <c:numRef>
              <c:f>'thummel 1994'!$AF$16:$AF$20</c:f>
              <c:numCache>
                <c:ptCount val="5"/>
                <c:pt idx="0">
                  <c:v>0</c:v>
                </c:pt>
                <c:pt idx="1">
                  <c:v>0</c:v>
                </c:pt>
                <c:pt idx="2">
                  <c:v>0</c:v>
                </c:pt>
                <c:pt idx="3">
                  <c:v>0</c:v>
                </c:pt>
                <c:pt idx="4">
                  <c:v>0</c:v>
                </c:pt>
              </c:numCache>
            </c:numRef>
          </c:yVal>
          <c:smooth val="0"/>
        </c:ser>
        <c:axId val="40085311"/>
        <c:axId val="25223480"/>
      </c:scatterChart>
      <c:valAx>
        <c:axId val="40085311"/>
        <c:scaling>
          <c:orientation val="minMax"/>
        </c:scaling>
        <c:axPos val="b"/>
        <c:title>
          <c:tx>
            <c:rich>
              <a:bodyPr vert="horz" rot="0" anchor="ctr"/>
              <a:lstStyle/>
              <a:p>
                <a:pPr algn="ctr">
                  <a:defRPr/>
                </a:pPr>
                <a:r>
                  <a:rPr lang="en-US" cap="none" sz="975"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25223480"/>
        <c:crosses val="autoZero"/>
        <c:crossBetween val="midCat"/>
        <c:dispUnits/>
      </c:valAx>
      <c:valAx>
        <c:axId val="25223480"/>
        <c:scaling>
          <c:orientation val="minMax"/>
        </c:scaling>
        <c:axPos val="l"/>
        <c:title>
          <c:tx>
            <c:rich>
              <a:bodyPr vert="horz" rot="-5400000" anchor="ctr"/>
              <a:lstStyle/>
              <a:p>
                <a:pPr algn="ctr">
                  <a:defRPr/>
                </a:pPr>
                <a:r>
                  <a:rPr lang="en-US" cap="none" sz="975" b="1" i="0" u="none" baseline="0">
                    <a:latin typeface="Arial"/>
                    <a:ea typeface="Arial"/>
                    <a:cs typeface="Arial"/>
                  </a:rPr>
                  <a:t>log Cl' int (liver)</a:t>
                </a:r>
              </a:p>
            </c:rich>
          </c:tx>
          <c:layout/>
          <c:overlay val="0"/>
          <c:spPr>
            <a:noFill/>
            <a:ln>
              <a:noFill/>
            </a:ln>
          </c:spPr>
        </c:title>
        <c:majorGridlines/>
        <c:delete val="0"/>
        <c:numFmt formatCode="General" sourceLinked="1"/>
        <c:majorTickMark val="out"/>
        <c:minorTickMark val="none"/>
        <c:tickLblPos val="nextTo"/>
        <c:crossAx val="40085311"/>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Vmax/Km S13</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'thummel 1994'!$V$16:$V$20</c:f>
              <c:numCache>
                <c:ptCount val="5"/>
                <c:pt idx="0">
                  <c:v>0</c:v>
                </c:pt>
                <c:pt idx="1">
                  <c:v>0</c:v>
                </c:pt>
                <c:pt idx="2">
                  <c:v>0</c:v>
                </c:pt>
                <c:pt idx="3">
                  <c:v>0</c:v>
                </c:pt>
                <c:pt idx="4">
                  <c:v>0</c:v>
                </c:pt>
              </c:numCache>
            </c:numRef>
          </c:xVal>
          <c:yVal>
            <c:numRef>
              <c:f>'thummel 1994'!$AG$16:$AG$20</c:f>
              <c:numCache>
                <c:ptCount val="5"/>
                <c:pt idx="0">
                  <c:v>0</c:v>
                </c:pt>
                <c:pt idx="1">
                  <c:v>0</c:v>
                </c:pt>
                <c:pt idx="2">
                  <c:v>0</c:v>
                </c:pt>
                <c:pt idx="3">
                  <c:v>0</c:v>
                </c:pt>
                <c:pt idx="4">
                  <c:v>0</c:v>
                </c:pt>
              </c:numCache>
            </c:numRef>
          </c:yVal>
          <c:smooth val="0"/>
        </c:ser>
        <c:axId val="25684729"/>
        <c:axId val="29835970"/>
      </c:scatterChart>
      <c:valAx>
        <c:axId val="25684729"/>
        <c:scaling>
          <c:orientation val="minMax"/>
        </c:scaling>
        <c:axPos val="b"/>
        <c:title>
          <c:tx>
            <c:rich>
              <a:bodyPr vert="horz" rot="0" anchor="ctr"/>
              <a:lstStyle/>
              <a:p>
                <a:pPr algn="ctr">
                  <a:defRPr/>
                </a:pPr>
                <a:r>
                  <a:rPr lang="en-US" cap="none" sz="1000"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29835970"/>
        <c:crosses val="autoZero"/>
        <c:crossBetween val="midCat"/>
        <c:dispUnits/>
      </c:valAx>
      <c:valAx>
        <c:axId val="29835970"/>
        <c:scaling>
          <c:orientation val="minMax"/>
        </c:scaling>
        <c:axPos val="l"/>
        <c:title>
          <c:tx>
            <c:rich>
              <a:bodyPr vert="horz" rot="-5400000" anchor="ctr"/>
              <a:lstStyle/>
              <a:p>
                <a:pPr algn="ctr">
                  <a:defRPr/>
                </a:pPr>
                <a:r>
                  <a:rPr lang="en-US" cap="none" sz="1000" b="1" i="0" u="none" baseline="0">
                    <a:latin typeface="Arial"/>
                    <a:ea typeface="Arial"/>
                    <a:cs typeface="Arial"/>
                  </a:rPr>
                  <a:t>log Vmax/km</a:t>
                </a:r>
              </a:p>
            </c:rich>
          </c:tx>
          <c:layout/>
          <c:overlay val="0"/>
          <c:spPr>
            <a:noFill/>
            <a:ln>
              <a:noFill/>
            </a:ln>
          </c:spPr>
        </c:title>
        <c:majorGridlines/>
        <c:delete val="0"/>
        <c:numFmt formatCode="General" sourceLinked="1"/>
        <c:majorTickMark val="out"/>
        <c:minorTickMark val="none"/>
        <c:tickLblPos val="nextTo"/>
        <c:crossAx val="25684729"/>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dihydrocodeine-6-glucoronide formation</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'kirkwood 1998'!$O$11:$O$15</c:f>
              <c:numCache>
                <c:ptCount val="5"/>
                <c:pt idx="0">
                  <c:v>0</c:v>
                </c:pt>
                <c:pt idx="1">
                  <c:v>0</c:v>
                </c:pt>
                <c:pt idx="2">
                  <c:v>0</c:v>
                </c:pt>
                <c:pt idx="3">
                  <c:v>0</c:v>
                </c:pt>
                <c:pt idx="4">
                  <c:v>0</c:v>
                </c:pt>
              </c:numCache>
            </c:numRef>
          </c:xVal>
          <c:yVal>
            <c:numRef>
              <c:f>'kirkwood 1998'!$P$11:$P$15</c:f>
              <c:numCache>
                <c:ptCount val="5"/>
                <c:pt idx="0">
                  <c:v>0</c:v>
                </c:pt>
                <c:pt idx="1">
                  <c:v>0</c:v>
                </c:pt>
                <c:pt idx="2">
                  <c:v>0</c:v>
                </c:pt>
                <c:pt idx="3">
                  <c:v>0</c:v>
                </c:pt>
                <c:pt idx="4">
                  <c:v>0</c:v>
                </c:pt>
              </c:numCache>
            </c:numRef>
          </c:yVal>
          <c:smooth val="0"/>
        </c:ser>
        <c:axId val="88275"/>
        <c:axId val="794476"/>
      </c:scatterChart>
      <c:valAx>
        <c:axId val="88275"/>
        <c:scaling>
          <c:orientation val="minMax"/>
        </c:scaling>
        <c:axPos val="b"/>
        <c:title>
          <c:tx>
            <c:rich>
              <a:bodyPr vert="horz" rot="0" anchor="ctr"/>
              <a:lstStyle/>
              <a:p>
                <a:pPr algn="ctr">
                  <a:defRPr/>
                </a:pPr>
                <a:r>
                  <a:rPr lang="en-US" cap="none" sz="1000"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794476"/>
        <c:crosses val="autoZero"/>
        <c:crossBetween val="midCat"/>
        <c:dispUnits/>
      </c:valAx>
      <c:valAx>
        <c:axId val="794476"/>
        <c:scaling>
          <c:orientation val="minMax"/>
        </c:scaling>
        <c:axPos val="l"/>
        <c:title>
          <c:tx>
            <c:rich>
              <a:bodyPr vert="horz" rot="-5400000" anchor="ctr"/>
              <a:lstStyle/>
              <a:p>
                <a:pPr algn="ctr">
                  <a:defRPr/>
                </a:pPr>
                <a:r>
                  <a:rPr lang="en-US" cap="none" sz="1000" b="1" i="0" u="none" baseline="0">
                    <a:latin typeface="Arial"/>
                    <a:ea typeface="Arial"/>
                    <a:cs typeface="Arial"/>
                  </a:rPr>
                  <a:t>log Ks</a:t>
                </a:r>
              </a:p>
            </c:rich>
          </c:tx>
          <c:layout/>
          <c:overlay val="0"/>
          <c:spPr>
            <a:noFill/>
            <a:ln>
              <a:noFill/>
            </a:ln>
          </c:spPr>
        </c:title>
        <c:majorGridlines/>
        <c:delete val="0"/>
        <c:numFmt formatCode="General" sourceLinked="1"/>
        <c:majorTickMark val="out"/>
        <c:minorTickMark val="none"/>
        <c:tickLblPos val="nextTo"/>
        <c:crossAx val="88275"/>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Km</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0"/>
            <c:trendlineLbl>
              <c:layout>
                <c:manualLayout>
                  <c:x val="0"/>
                  <c:y val="0"/>
                </c:manualLayout>
              </c:layout>
              <c:numFmt formatCode="General"/>
            </c:trendlineLbl>
          </c:trendline>
          <c:trendline>
            <c:trendlineType val="linear"/>
            <c:dispEq val="1"/>
            <c:dispRSqr val="1"/>
            <c:trendlineLbl>
              <c:layout>
                <c:manualLayout>
                  <c:x val="0"/>
                  <c:y val="0"/>
                </c:manualLayout>
              </c:layout>
              <c:numFmt formatCode="General"/>
            </c:trendlineLbl>
          </c:trendline>
          <c:xVal>
            <c:numRef>
              <c:f>'Zhang 2002'!$S$8:$S$12</c:f>
              <c:numCache>
                <c:ptCount val="5"/>
                <c:pt idx="0">
                  <c:v>0</c:v>
                </c:pt>
                <c:pt idx="1">
                  <c:v>0</c:v>
                </c:pt>
                <c:pt idx="2">
                  <c:v>0</c:v>
                </c:pt>
                <c:pt idx="3">
                  <c:v>0</c:v>
                </c:pt>
                <c:pt idx="4">
                  <c:v>0</c:v>
                </c:pt>
              </c:numCache>
            </c:numRef>
          </c:xVal>
          <c:yVal>
            <c:numRef>
              <c:f>'Zhang 2002'!$U$8:$U$12</c:f>
              <c:numCache>
                <c:ptCount val="5"/>
                <c:pt idx="0">
                  <c:v>0</c:v>
                </c:pt>
                <c:pt idx="1">
                  <c:v>0</c:v>
                </c:pt>
                <c:pt idx="2">
                  <c:v>0</c:v>
                </c:pt>
                <c:pt idx="3">
                  <c:v>0</c:v>
                </c:pt>
                <c:pt idx="4">
                  <c:v>0</c:v>
                </c:pt>
              </c:numCache>
            </c:numRef>
          </c:yVal>
          <c:smooth val="0"/>
        </c:ser>
        <c:axId val="49487795"/>
        <c:axId val="42736972"/>
      </c:scatterChart>
      <c:valAx>
        <c:axId val="49487795"/>
        <c:scaling>
          <c:orientation val="minMax"/>
        </c:scaling>
        <c:axPos val="b"/>
        <c:title>
          <c:tx>
            <c:rich>
              <a:bodyPr vert="horz" rot="0" anchor="ctr"/>
              <a:lstStyle/>
              <a:p>
                <a:pPr algn="ctr">
                  <a:defRPr/>
                </a:pPr>
                <a:r>
                  <a:rPr lang="en-US" cap="none" sz="975"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42736972"/>
        <c:crosses val="autoZero"/>
        <c:crossBetween val="midCat"/>
        <c:dispUnits/>
      </c:valAx>
      <c:valAx>
        <c:axId val="42736972"/>
        <c:scaling>
          <c:orientation val="minMax"/>
        </c:scaling>
        <c:axPos val="l"/>
        <c:title>
          <c:tx>
            <c:rich>
              <a:bodyPr vert="horz" rot="-5400000" anchor="ctr"/>
              <a:lstStyle/>
              <a:p>
                <a:pPr algn="ctr">
                  <a:defRPr/>
                </a:pPr>
                <a:r>
                  <a:rPr lang="en-US" cap="none" sz="975" b="1" i="0" u="none" baseline="0">
                    <a:latin typeface="Arial"/>
                    <a:ea typeface="Arial"/>
                    <a:cs typeface="Arial"/>
                  </a:rPr>
                  <a:t>Km uM</a:t>
                </a:r>
              </a:p>
            </c:rich>
          </c:tx>
          <c:layout/>
          <c:overlay val="0"/>
          <c:spPr>
            <a:noFill/>
            <a:ln>
              <a:noFill/>
            </a:ln>
          </c:spPr>
        </c:title>
        <c:majorGridlines/>
        <c:delete val="0"/>
        <c:numFmt formatCode="General" sourceLinked="1"/>
        <c:majorTickMark val="out"/>
        <c:minorTickMark val="none"/>
        <c:tickLblPos val="nextTo"/>
        <c:crossAx val="49487795"/>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dihydrocodeine-6-glucoronide formation</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'kirkwood 1998'!$O$11:$O$15</c:f>
              <c:numCache>
                <c:ptCount val="5"/>
                <c:pt idx="0">
                  <c:v>0</c:v>
                </c:pt>
                <c:pt idx="1">
                  <c:v>0</c:v>
                </c:pt>
                <c:pt idx="2">
                  <c:v>0</c:v>
                </c:pt>
                <c:pt idx="3">
                  <c:v>0</c:v>
                </c:pt>
                <c:pt idx="4">
                  <c:v>0</c:v>
                </c:pt>
              </c:numCache>
            </c:numRef>
          </c:xVal>
          <c:yVal>
            <c:numRef>
              <c:f>'kirkwood 1998'!$Q$11:$Q$15</c:f>
              <c:numCache>
                <c:ptCount val="5"/>
                <c:pt idx="0">
                  <c:v>0</c:v>
                </c:pt>
                <c:pt idx="1">
                  <c:v>0</c:v>
                </c:pt>
                <c:pt idx="2">
                  <c:v>0</c:v>
                </c:pt>
                <c:pt idx="3">
                  <c:v>0</c:v>
                </c:pt>
                <c:pt idx="4">
                  <c:v>0</c:v>
                </c:pt>
              </c:numCache>
            </c:numRef>
          </c:yVal>
          <c:smooth val="0"/>
        </c:ser>
        <c:axId val="7150285"/>
        <c:axId val="64352566"/>
      </c:scatterChart>
      <c:valAx>
        <c:axId val="7150285"/>
        <c:scaling>
          <c:orientation val="minMax"/>
        </c:scaling>
        <c:axPos val="b"/>
        <c:title>
          <c:tx>
            <c:rich>
              <a:bodyPr vert="horz" rot="0" anchor="ctr"/>
              <a:lstStyle/>
              <a:p>
                <a:pPr algn="ctr">
                  <a:defRPr/>
                </a:pPr>
                <a:r>
                  <a:rPr lang="en-US" cap="none" sz="1000" b="1" i="0" u="none" baseline="0">
                    <a:latin typeface="Arial"/>
                    <a:ea typeface="Arial"/>
                    <a:cs typeface="Arial"/>
                  </a:rPr>
                  <a:t>Z Score </a:t>
                </a:r>
              </a:p>
            </c:rich>
          </c:tx>
          <c:layout/>
          <c:overlay val="0"/>
          <c:spPr>
            <a:noFill/>
            <a:ln>
              <a:noFill/>
            </a:ln>
          </c:spPr>
        </c:title>
        <c:delete val="0"/>
        <c:numFmt formatCode="General" sourceLinked="1"/>
        <c:majorTickMark val="out"/>
        <c:minorTickMark val="none"/>
        <c:tickLblPos val="nextTo"/>
        <c:crossAx val="64352566"/>
        <c:crosses val="autoZero"/>
        <c:crossBetween val="midCat"/>
        <c:dispUnits/>
      </c:valAx>
      <c:valAx>
        <c:axId val="64352566"/>
        <c:scaling>
          <c:orientation val="minMax"/>
        </c:scaling>
        <c:axPos val="l"/>
        <c:title>
          <c:tx>
            <c:rich>
              <a:bodyPr vert="horz" rot="-5400000" anchor="ctr"/>
              <a:lstStyle/>
              <a:p>
                <a:pPr algn="ctr">
                  <a:defRPr/>
                </a:pPr>
                <a:r>
                  <a:rPr lang="en-US" cap="none" sz="1000" b="1" i="0" u="none" baseline="0">
                    <a:latin typeface="Arial"/>
                    <a:ea typeface="Arial"/>
                    <a:cs typeface="Arial"/>
                  </a:rPr>
                  <a:t>log Vmax</a:t>
                </a:r>
              </a:p>
            </c:rich>
          </c:tx>
          <c:layout/>
          <c:overlay val="0"/>
          <c:spPr>
            <a:noFill/>
            <a:ln>
              <a:noFill/>
            </a:ln>
          </c:spPr>
        </c:title>
        <c:majorGridlines/>
        <c:delete val="0"/>
        <c:numFmt formatCode="General" sourceLinked="1"/>
        <c:majorTickMark val="out"/>
        <c:minorTickMark val="none"/>
        <c:tickLblPos val="nextTo"/>
        <c:crossAx val="7150285"/>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'kirkwood 1998'!$O$11:$O$15</c:f>
              <c:numCache>
                <c:ptCount val="5"/>
                <c:pt idx="0">
                  <c:v>0</c:v>
                </c:pt>
                <c:pt idx="1">
                  <c:v>0</c:v>
                </c:pt>
                <c:pt idx="2">
                  <c:v>0</c:v>
                </c:pt>
                <c:pt idx="3">
                  <c:v>0</c:v>
                </c:pt>
                <c:pt idx="4">
                  <c:v>0</c:v>
                </c:pt>
              </c:numCache>
            </c:numRef>
          </c:xVal>
          <c:yVal>
            <c:numRef>
              <c:f>'kirkwood 1998'!$R$11:$R$15</c:f>
              <c:numCache>
                <c:ptCount val="5"/>
                <c:pt idx="0">
                  <c:v>0</c:v>
                </c:pt>
                <c:pt idx="1">
                  <c:v>0</c:v>
                </c:pt>
                <c:pt idx="2">
                  <c:v>0</c:v>
                </c:pt>
                <c:pt idx="3">
                  <c:v>0</c:v>
                </c:pt>
                <c:pt idx="4">
                  <c:v>0</c:v>
                </c:pt>
              </c:numCache>
            </c:numRef>
          </c:yVal>
          <c:smooth val="0"/>
        </c:ser>
        <c:axId val="42302183"/>
        <c:axId val="45175328"/>
      </c:scatterChart>
      <c:valAx>
        <c:axId val="42302183"/>
        <c:scaling>
          <c:orientation val="minMax"/>
        </c:scaling>
        <c:axPos val="b"/>
        <c:title>
          <c:tx>
            <c:rich>
              <a:bodyPr vert="horz" rot="0" anchor="ctr"/>
              <a:lstStyle/>
              <a:p>
                <a:pPr algn="ctr">
                  <a:defRPr/>
                </a:pPr>
                <a:r>
                  <a:rPr lang="en-US" cap="none" sz="975"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45175328"/>
        <c:crosses val="autoZero"/>
        <c:crossBetween val="midCat"/>
        <c:dispUnits/>
      </c:valAx>
      <c:valAx>
        <c:axId val="45175328"/>
        <c:scaling>
          <c:orientation val="minMax"/>
        </c:scaling>
        <c:axPos val="l"/>
        <c:title>
          <c:tx>
            <c:rich>
              <a:bodyPr vert="horz" rot="-5400000" anchor="ctr"/>
              <a:lstStyle/>
              <a:p>
                <a:pPr algn="ctr">
                  <a:defRPr/>
                </a:pPr>
                <a:r>
                  <a:rPr lang="en-US" cap="none" sz="975" b="1" i="0" u="none" baseline="0">
                    <a:latin typeface="Arial"/>
                    <a:ea typeface="Arial"/>
                    <a:cs typeface="Arial"/>
                  </a:rPr>
                  <a:t>Ks</a:t>
                </a:r>
              </a:p>
            </c:rich>
          </c:tx>
          <c:layout/>
          <c:overlay val="0"/>
          <c:spPr>
            <a:noFill/>
            <a:ln>
              <a:noFill/>
            </a:ln>
          </c:spPr>
        </c:title>
        <c:majorGridlines/>
        <c:delete val="0"/>
        <c:numFmt formatCode="General" sourceLinked="1"/>
        <c:majorTickMark val="out"/>
        <c:minorTickMark val="none"/>
        <c:tickLblPos val="nextTo"/>
        <c:crossAx val="42302183"/>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'kirkwood 1998'!$O$11:$O$15</c:f>
              <c:numCache>
                <c:ptCount val="5"/>
                <c:pt idx="0">
                  <c:v>0</c:v>
                </c:pt>
                <c:pt idx="1">
                  <c:v>0</c:v>
                </c:pt>
                <c:pt idx="2">
                  <c:v>0</c:v>
                </c:pt>
                <c:pt idx="3">
                  <c:v>0</c:v>
                </c:pt>
                <c:pt idx="4">
                  <c:v>0</c:v>
                </c:pt>
              </c:numCache>
            </c:numRef>
          </c:xVal>
          <c:yVal>
            <c:numRef>
              <c:f>'kirkwood 1998'!$S$11:$S$15</c:f>
              <c:numCache>
                <c:ptCount val="5"/>
                <c:pt idx="0">
                  <c:v>0</c:v>
                </c:pt>
                <c:pt idx="1">
                  <c:v>0</c:v>
                </c:pt>
                <c:pt idx="2">
                  <c:v>0</c:v>
                </c:pt>
                <c:pt idx="3">
                  <c:v>0</c:v>
                </c:pt>
                <c:pt idx="4">
                  <c:v>0</c:v>
                </c:pt>
              </c:numCache>
            </c:numRef>
          </c:yVal>
          <c:smooth val="0"/>
        </c:ser>
        <c:axId val="3924769"/>
        <c:axId val="35322922"/>
      </c:scatterChart>
      <c:valAx>
        <c:axId val="3924769"/>
        <c:scaling>
          <c:orientation val="minMax"/>
        </c:scaling>
        <c:axPos val="b"/>
        <c:title>
          <c:tx>
            <c:rich>
              <a:bodyPr vert="horz" rot="0" anchor="ctr"/>
              <a:lstStyle/>
              <a:p>
                <a:pPr algn="ctr">
                  <a:defRPr/>
                </a:pPr>
                <a:r>
                  <a:rPr lang="en-US" cap="none" sz="975"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35322922"/>
        <c:crosses val="autoZero"/>
        <c:crossBetween val="midCat"/>
        <c:dispUnits/>
      </c:valAx>
      <c:valAx>
        <c:axId val="35322922"/>
        <c:scaling>
          <c:orientation val="minMax"/>
        </c:scaling>
        <c:axPos val="l"/>
        <c:title>
          <c:tx>
            <c:rich>
              <a:bodyPr vert="horz" rot="-5400000" anchor="ctr"/>
              <a:lstStyle/>
              <a:p>
                <a:pPr algn="ctr">
                  <a:defRPr/>
                </a:pPr>
                <a:r>
                  <a:rPr lang="en-US" cap="none" sz="975" b="1" i="0" u="none" baseline="0">
                    <a:latin typeface="Arial"/>
                    <a:ea typeface="Arial"/>
                    <a:cs typeface="Arial"/>
                  </a:rPr>
                  <a:t>Vmax</a:t>
                </a:r>
              </a:p>
            </c:rich>
          </c:tx>
          <c:layout/>
          <c:overlay val="0"/>
          <c:spPr>
            <a:noFill/>
            <a:ln>
              <a:noFill/>
            </a:ln>
          </c:spPr>
        </c:title>
        <c:majorGridlines/>
        <c:delete val="0"/>
        <c:numFmt formatCode="General" sourceLinked="1"/>
        <c:majorTickMark val="out"/>
        <c:minorTickMark val="none"/>
        <c:tickLblPos val="nextTo"/>
        <c:crossAx val="3924769"/>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numFmt formatCode="General"/>
            </c:trendlineLbl>
          </c:trendline>
          <c:xVal>
            <c:numRef>
              <c:f>'seaton 1995'!$I$8:$I$17</c:f>
              <c:numCache>
                <c:ptCount val="10"/>
                <c:pt idx="0">
                  <c:v>0</c:v>
                </c:pt>
                <c:pt idx="1">
                  <c:v>0</c:v>
                </c:pt>
                <c:pt idx="2">
                  <c:v>0</c:v>
                </c:pt>
                <c:pt idx="3">
                  <c:v>0</c:v>
                </c:pt>
                <c:pt idx="4">
                  <c:v>0</c:v>
                </c:pt>
                <c:pt idx="5">
                  <c:v>0</c:v>
                </c:pt>
                <c:pt idx="6">
                  <c:v>0</c:v>
                </c:pt>
                <c:pt idx="7">
                  <c:v>0</c:v>
                </c:pt>
                <c:pt idx="8">
                  <c:v>0</c:v>
                </c:pt>
                <c:pt idx="9">
                  <c:v>0</c:v>
                </c:pt>
              </c:numCache>
            </c:numRef>
          </c:xVal>
          <c:yVal>
            <c:numRef>
              <c:f>'seaton 1995'!$J$8:$J$17</c:f>
              <c:numCache>
                <c:ptCount val="10"/>
                <c:pt idx="0">
                  <c:v>0</c:v>
                </c:pt>
                <c:pt idx="1">
                  <c:v>0</c:v>
                </c:pt>
                <c:pt idx="2">
                  <c:v>0</c:v>
                </c:pt>
                <c:pt idx="3">
                  <c:v>0</c:v>
                </c:pt>
                <c:pt idx="4">
                  <c:v>0</c:v>
                </c:pt>
                <c:pt idx="5">
                  <c:v>0</c:v>
                </c:pt>
                <c:pt idx="6">
                  <c:v>0</c:v>
                </c:pt>
                <c:pt idx="7">
                  <c:v>0</c:v>
                </c:pt>
                <c:pt idx="8">
                  <c:v>0</c:v>
                </c:pt>
                <c:pt idx="9">
                  <c:v>0</c:v>
                </c:pt>
              </c:numCache>
            </c:numRef>
          </c:yVal>
          <c:smooth val="0"/>
        </c:ser>
        <c:axId val="49470843"/>
        <c:axId val="42584404"/>
      </c:scatterChart>
      <c:valAx>
        <c:axId val="49470843"/>
        <c:scaling>
          <c:orientation val="minMax"/>
        </c:scaling>
        <c:axPos val="b"/>
        <c:delete val="0"/>
        <c:numFmt formatCode="General" sourceLinked="1"/>
        <c:majorTickMark val="out"/>
        <c:minorTickMark val="none"/>
        <c:tickLblPos val="nextTo"/>
        <c:crossAx val="42584404"/>
        <c:crosses val="autoZero"/>
        <c:crossBetween val="midCat"/>
        <c:dispUnits/>
      </c:valAx>
      <c:valAx>
        <c:axId val="42584404"/>
        <c:scaling>
          <c:orientation val="minMax"/>
        </c:scaling>
        <c:axPos val="l"/>
        <c:majorGridlines/>
        <c:delete val="0"/>
        <c:numFmt formatCode="General" sourceLinked="1"/>
        <c:majorTickMark val="out"/>
        <c:minorTickMark val="none"/>
        <c:tickLblPos val="nextTo"/>
        <c:crossAx val="49470843"/>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'seaton 1995'!$I$8:$I$17</c:f>
              <c:numCache>
                <c:ptCount val="10"/>
                <c:pt idx="0">
                  <c:v>0</c:v>
                </c:pt>
                <c:pt idx="1">
                  <c:v>0</c:v>
                </c:pt>
                <c:pt idx="2">
                  <c:v>0</c:v>
                </c:pt>
                <c:pt idx="3">
                  <c:v>0</c:v>
                </c:pt>
                <c:pt idx="4">
                  <c:v>0</c:v>
                </c:pt>
                <c:pt idx="5">
                  <c:v>0</c:v>
                </c:pt>
                <c:pt idx="6">
                  <c:v>0</c:v>
                </c:pt>
                <c:pt idx="7">
                  <c:v>0</c:v>
                </c:pt>
                <c:pt idx="8">
                  <c:v>0</c:v>
                </c:pt>
                <c:pt idx="9">
                  <c:v>0</c:v>
                </c:pt>
              </c:numCache>
            </c:numRef>
          </c:xVal>
          <c:yVal>
            <c:numRef>
              <c:f>'seaton 1995'!$L$8:$L$17</c:f>
              <c:numCache>
                <c:ptCount val="10"/>
                <c:pt idx="0">
                  <c:v>0</c:v>
                </c:pt>
                <c:pt idx="1">
                  <c:v>0</c:v>
                </c:pt>
                <c:pt idx="2">
                  <c:v>0</c:v>
                </c:pt>
                <c:pt idx="3">
                  <c:v>0</c:v>
                </c:pt>
                <c:pt idx="4">
                  <c:v>0</c:v>
                </c:pt>
                <c:pt idx="5">
                  <c:v>0</c:v>
                </c:pt>
                <c:pt idx="6">
                  <c:v>0</c:v>
                </c:pt>
                <c:pt idx="7">
                  <c:v>0</c:v>
                </c:pt>
                <c:pt idx="8">
                  <c:v>0</c:v>
                </c:pt>
                <c:pt idx="9">
                  <c:v>0</c:v>
                </c:pt>
              </c:numCache>
            </c:numRef>
          </c:yVal>
          <c:smooth val="0"/>
        </c:ser>
        <c:axId val="47715317"/>
        <c:axId val="26784670"/>
      </c:scatterChart>
      <c:valAx>
        <c:axId val="47715317"/>
        <c:scaling>
          <c:orientation val="minMax"/>
        </c:scaling>
        <c:axPos val="b"/>
        <c:delete val="0"/>
        <c:numFmt formatCode="General" sourceLinked="1"/>
        <c:majorTickMark val="out"/>
        <c:minorTickMark val="none"/>
        <c:tickLblPos val="nextTo"/>
        <c:crossAx val="26784670"/>
        <c:crosses val="autoZero"/>
        <c:crossBetween val="midCat"/>
        <c:dispUnits/>
      </c:valAx>
      <c:valAx>
        <c:axId val="26784670"/>
        <c:scaling>
          <c:orientation val="minMax"/>
        </c:scaling>
        <c:axPos val="l"/>
        <c:majorGridlines/>
        <c:delete val="0"/>
        <c:numFmt formatCode="General" sourceLinked="1"/>
        <c:majorTickMark val="out"/>
        <c:minorTickMark val="none"/>
        <c:tickLblPos val="nextTo"/>
        <c:crossAx val="47715317"/>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N-desalkylpropafenone formation</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'botsch 1992'!$N$10:$N$29</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'botsch 1992'!$R$10:$R$29</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ser>
        <c:axId val="39735439"/>
        <c:axId val="22074632"/>
      </c:scatterChart>
      <c:valAx>
        <c:axId val="39735439"/>
        <c:scaling>
          <c:orientation val="minMax"/>
        </c:scaling>
        <c:axPos val="b"/>
        <c:title>
          <c:tx>
            <c:rich>
              <a:bodyPr vert="horz" rot="0" anchor="ctr"/>
              <a:lstStyle/>
              <a:p>
                <a:pPr algn="ctr">
                  <a:defRPr/>
                </a:pPr>
                <a:r>
                  <a:rPr lang="en-US" cap="none" sz="975"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22074632"/>
        <c:crosses val="autoZero"/>
        <c:crossBetween val="midCat"/>
        <c:dispUnits/>
      </c:valAx>
      <c:valAx>
        <c:axId val="22074632"/>
        <c:scaling>
          <c:orientation val="minMax"/>
        </c:scaling>
        <c:axPos val="l"/>
        <c:title>
          <c:tx>
            <c:rich>
              <a:bodyPr vert="horz" rot="-5400000" anchor="ctr"/>
              <a:lstStyle/>
              <a:p>
                <a:pPr algn="ctr">
                  <a:defRPr/>
                </a:pPr>
                <a:r>
                  <a:rPr lang="en-US" cap="none" sz="975" b="1" i="0" u="none" baseline="0">
                    <a:latin typeface="Arial"/>
                    <a:ea typeface="Arial"/>
                    <a:cs typeface="Arial"/>
                  </a:rPr>
                  <a:t>V max</a:t>
                </a:r>
              </a:p>
            </c:rich>
          </c:tx>
          <c:layout/>
          <c:overlay val="0"/>
          <c:spPr>
            <a:noFill/>
            <a:ln>
              <a:noFill/>
            </a:ln>
          </c:spPr>
        </c:title>
        <c:majorGridlines/>
        <c:delete val="0"/>
        <c:numFmt formatCode="General" sourceLinked="1"/>
        <c:majorTickMark val="out"/>
        <c:minorTickMark val="none"/>
        <c:tickLblPos val="nextTo"/>
        <c:crossAx val="39735439"/>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N-desalkylpropafenone</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'botsch 1992'!$N$10:$N$29</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'botsch 1992'!$V$10:$V$29</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ser>
        <c:axId val="64453961"/>
        <c:axId val="43214738"/>
      </c:scatterChart>
      <c:valAx>
        <c:axId val="64453961"/>
        <c:scaling>
          <c:orientation val="minMax"/>
        </c:scaling>
        <c:axPos val="b"/>
        <c:title>
          <c:tx>
            <c:rich>
              <a:bodyPr vert="horz" rot="0" anchor="ctr"/>
              <a:lstStyle/>
              <a:p>
                <a:pPr algn="ctr">
                  <a:defRPr/>
                </a:pPr>
                <a:r>
                  <a:rPr lang="en-US" cap="none" sz="975"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43214738"/>
        <c:crosses val="autoZero"/>
        <c:crossBetween val="midCat"/>
        <c:dispUnits/>
      </c:valAx>
      <c:valAx>
        <c:axId val="43214738"/>
        <c:scaling>
          <c:orientation val="minMax"/>
        </c:scaling>
        <c:axPos val="l"/>
        <c:title>
          <c:tx>
            <c:rich>
              <a:bodyPr vert="horz" rot="-5400000" anchor="ctr"/>
              <a:lstStyle/>
              <a:p>
                <a:pPr algn="ctr">
                  <a:defRPr/>
                </a:pPr>
                <a:r>
                  <a:rPr lang="en-US" cap="none" sz="975" b="1" i="0" u="none" baseline="0">
                    <a:latin typeface="Arial"/>
                    <a:ea typeface="Arial"/>
                    <a:cs typeface="Arial"/>
                  </a:rPr>
                  <a:t>log Vmax</a:t>
                </a:r>
              </a:p>
            </c:rich>
          </c:tx>
          <c:layout/>
          <c:overlay val="0"/>
          <c:spPr>
            <a:noFill/>
            <a:ln>
              <a:noFill/>
            </a:ln>
          </c:spPr>
        </c:title>
        <c:majorGridlines/>
        <c:delete val="0"/>
        <c:numFmt formatCode="General" sourceLinked="1"/>
        <c:majorTickMark val="out"/>
        <c:minorTickMark val="none"/>
        <c:tickLblPos val="nextTo"/>
        <c:crossAx val="64453961"/>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N-desalkylpropafenone formation</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'botsch 1992'!$P$10:$P$16</c:f>
              <c:numCache>
                <c:ptCount val="7"/>
                <c:pt idx="0">
                  <c:v>0</c:v>
                </c:pt>
                <c:pt idx="1">
                  <c:v>0</c:v>
                </c:pt>
                <c:pt idx="2">
                  <c:v>0</c:v>
                </c:pt>
                <c:pt idx="3">
                  <c:v>0</c:v>
                </c:pt>
                <c:pt idx="4">
                  <c:v>0</c:v>
                </c:pt>
                <c:pt idx="5">
                  <c:v>0</c:v>
                </c:pt>
                <c:pt idx="6">
                  <c:v>0</c:v>
                </c:pt>
              </c:numCache>
            </c:numRef>
          </c:xVal>
          <c:yVal>
            <c:numRef>
              <c:f>'botsch 1992'!$S$10:$S$16</c:f>
              <c:numCache>
                <c:ptCount val="7"/>
                <c:pt idx="0">
                  <c:v>0</c:v>
                </c:pt>
                <c:pt idx="1">
                  <c:v>0</c:v>
                </c:pt>
                <c:pt idx="2">
                  <c:v>0</c:v>
                </c:pt>
                <c:pt idx="3">
                  <c:v>0</c:v>
                </c:pt>
                <c:pt idx="4">
                  <c:v>0</c:v>
                </c:pt>
                <c:pt idx="5">
                  <c:v>0</c:v>
                </c:pt>
                <c:pt idx="6">
                  <c:v>0</c:v>
                </c:pt>
              </c:numCache>
            </c:numRef>
          </c:yVal>
          <c:smooth val="0"/>
        </c:ser>
        <c:axId val="53388323"/>
        <c:axId val="10732860"/>
      </c:scatterChart>
      <c:valAx>
        <c:axId val="53388323"/>
        <c:scaling>
          <c:orientation val="minMax"/>
        </c:scaling>
        <c:axPos val="b"/>
        <c:title>
          <c:tx>
            <c:rich>
              <a:bodyPr vert="horz" rot="0" anchor="ctr"/>
              <a:lstStyle/>
              <a:p>
                <a:pPr algn="ctr">
                  <a:defRPr/>
                </a:pPr>
                <a:r>
                  <a:rPr lang="en-US" cap="none" sz="950"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10732860"/>
        <c:crosses val="autoZero"/>
        <c:crossBetween val="midCat"/>
        <c:dispUnits/>
      </c:valAx>
      <c:valAx>
        <c:axId val="10732860"/>
        <c:scaling>
          <c:orientation val="minMax"/>
        </c:scaling>
        <c:axPos val="l"/>
        <c:title>
          <c:tx>
            <c:rich>
              <a:bodyPr vert="horz" rot="-5400000" anchor="ctr"/>
              <a:lstStyle/>
              <a:p>
                <a:pPr algn="ctr">
                  <a:defRPr/>
                </a:pPr>
                <a:r>
                  <a:rPr lang="en-US" cap="none" sz="950" b="1" i="0" u="none" baseline="0">
                    <a:latin typeface="Arial"/>
                    <a:ea typeface="Arial"/>
                    <a:cs typeface="Arial"/>
                  </a:rPr>
                  <a:t>Km</a:t>
                </a:r>
              </a:p>
            </c:rich>
          </c:tx>
          <c:layout/>
          <c:overlay val="0"/>
          <c:spPr>
            <a:noFill/>
            <a:ln>
              <a:noFill/>
            </a:ln>
          </c:spPr>
        </c:title>
        <c:majorGridlines/>
        <c:delete val="0"/>
        <c:numFmt formatCode="General" sourceLinked="1"/>
        <c:majorTickMark val="out"/>
        <c:minorTickMark val="none"/>
        <c:tickLblPos val="nextTo"/>
        <c:crossAx val="53388323"/>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N-desalkylpropafenone formation</a:t>
            </a:r>
          </a:p>
        </c:rich>
      </c:tx>
      <c:layout>
        <c:manualLayout>
          <c:xMode val="factor"/>
          <c:yMode val="factor"/>
          <c:x val="0"/>
          <c:y val="0.01475"/>
        </c:manualLayout>
      </c:layout>
      <c:spPr>
        <a:noFill/>
        <a:ln>
          <a:noFill/>
        </a:ln>
      </c:spPr>
    </c:title>
    <c:plotArea>
      <c:layout>
        <c:manualLayout>
          <c:xMode val="edge"/>
          <c:yMode val="edge"/>
          <c:x val="0.0725"/>
          <c:y val="0.1955"/>
          <c:w val="0.77325"/>
          <c:h val="0.67"/>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'botsch 1992'!$P$10:$P$16</c:f>
              <c:numCache>
                <c:ptCount val="7"/>
                <c:pt idx="0">
                  <c:v>0</c:v>
                </c:pt>
                <c:pt idx="1">
                  <c:v>0</c:v>
                </c:pt>
                <c:pt idx="2">
                  <c:v>0</c:v>
                </c:pt>
                <c:pt idx="3">
                  <c:v>0</c:v>
                </c:pt>
                <c:pt idx="4">
                  <c:v>0</c:v>
                </c:pt>
                <c:pt idx="5">
                  <c:v>0</c:v>
                </c:pt>
                <c:pt idx="6">
                  <c:v>0</c:v>
                </c:pt>
              </c:numCache>
            </c:numRef>
          </c:xVal>
          <c:yVal>
            <c:numRef>
              <c:f>'botsch 1992'!$W$10:$W$16</c:f>
              <c:numCache>
                <c:ptCount val="7"/>
                <c:pt idx="0">
                  <c:v>0</c:v>
                </c:pt>
                <c:pt idx="1">
                  <c:v>0</c:v>
                </c:pt>
                <c:pt idx="2">
                  <c:v>0</c:v>
                </c:pt>
                <c:pt idx="3">
                  <c:v>0</c:v>
                </c:pt>
                <c:pt idx="4">
                  <c:v>0</c:v>
                </c:pt>
                <c:pt idx="5">
                  <c:v>0</c:v>
                </c:pt>
                <c:pt idx="6">
                  <c:v>0</c:v>
                </c:pt>
              </c:numCache>
            </c:numRef>
          </c:yVal>
          <c:smooth val="0"/>
        </c:ser>
        <c:axId val="29486877"/>
        <c:axId val="64055302"/>
      </c:scatterChart>
      <c:valAx>
        <c:axId val="29486877"/>
        <c:scaling>
          <c:orientation val="minMax"/>
        </c:scaling>
        <c:axPos val="b"/>
        <c:title>
          <c:tx>
            <c:rich>
              <a:bodyPr vert="horz" rot="0" anchor="ctr"/>
              <a:lstStyle/>
              <a:p>
                <a:pPr algn="ctr">
                  <a:defRPr/>
                </a:pPr>
                <a:r>
                  <a:rPr lang="en-US" cap="none" sz="975"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64055302"/>
        <c:crosses val="autoZero"/>
        <c:crossBetween val="midCat"/>
        <c:dispUnits/>
      </c:valAx>
      <c:valAx>
        <c:axId val="64055302"/>
        <c:scaling>
          <c:orientation val="minMax"/>
        </c:scaling>
        <c:axPos val="l"/>
        <c:title>
          <c:tx>
            <c:rich>
              <a:bodyPr vert="horz" rot="-5400000" anchor="ctr"/>
              <a:lstStyle/>
              <a:p>
                <a:pPr algn="ctr">
                  <a:defRPr/>
                </a:pPr>
                <a:r>
                  <a:rPr lang="en-US" cap="none" sz="975" b="1" i="0" u="none" baseline="0">
                    <a:latin typeface="Arial"/>
                    <a:ea typeface="Arial"/>
                    <a:cs typeface="Arial"/>
                  </a:rPr>
                  <a:t>log Km</a:t>
                </a:r>
              </a:p>
            </c:rich>
          </c:tx>
          <c:layout/>
          <c:overlay val="0"/>
          <c:spPr>
            <a:noFill/>
            <a:ln>
              <a:noFill/>
            </a:ln>
          </c:spPr>
        </c:title>
        <c:majorGridlines/>
        <c:delete val="0"/>
        <c:numFmt formatCode="General" sourceLinked="1"/>
        <c:majorTickMark val="out"/>
        <c:minorTickMark val="none"/>
        <c:tickLblPos val="nextTo"/>
        <c:crossAx val="29486877"/>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N-desalkylpropafenone formation</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'botsch 1992'!$P$10:$P$16</c:f>
              <c:numCache>
                <c:ptCount val="7"/>
                <c:pt idx="0">
                  <c:v>0</c:v>
                </c:pt>
                <c:pt idx="1">
                  <c:v>0</c:v>
                </c:pt>
                <c:pt idx="2">
                  <c:v>0</c:v>
                </c:pt>
                <c:pt idx="3">
                  <c:v>0</c:v>
                </c:pt>
                <c:pt idx="4">
                  <c:v>0</c:v>
                </c:pt>
                <c:pt idx="5">
                  <c:v>0</c:v>
                </c:pt>
                <c:pt idx="6">
                  <c:v>0</c:v>
                </c:pt>
              </c:numCache>
            </c:numRef>
          </c:xVal>
          <c:yVal>
            <c:numRef>
              <c:f>'botsch 1992'!$T$10:$T$16</c:f>
              <c:numCache>
                <c:ptCount val="7"/>
                <c:pt idx="0">
                  <c:v>0</c:v>
                </c:pt>
                <c:pt idx="1">
                  <c:v>0</c:v>
                </c:pt>
                <c:pt idx="2">
                  <c:v>0</c:v>
                </c:pt>
                <c:pt idx="3">
                  <c:v>0</c:v>
                </c:pt>
                <c:pt idx="4">
                  <c:v>0</c:v>
                </c:pt>
                <c:pt idx="5">
                  <c:v>0</c:v>
                </c:pt>
                <c:pt idx="6">
                  <c:v>0</c:v>
                </c:pt>
              </c:numCache>
            </c:numRef>
          </c:yVal>
          <c:smooth val="0"/>
        </c:ser>
        <c:axId val="39626807"/>
        <c:axId val="21096944"/>
      </c:scatterChart>
      <c:valAx>
        <c:axId val="39626807"/>
        <c:scaling>
          <c:orientation val="minMax"/>
        </c:scaling>
        <c:axPos val="b"/>
        <c:title>
          <c:tx>
            <c:rich>
              <a:bodyPr vert="horz" rot="0" anchor="ctr"/>
              <a:lstStyle/>
              <a:p>
                <a:pPr algn="ctr">
                  <a:defRPr/>
                </a:pPr>
                <a:r>
                  <a:rPr lang="en-US" cap="none" sz="950" b="1" i="0" u="none" baseline="0">
                    <a:latin typeface="Arial"/>
                    <a:ea typeface="Arial"/>
                    <a:cs typeface="Arial"/>
                  </a:rPr>
                  <a:t>Z Score</a:t>
                </a:r>
              </a:p>
            </c:rich>
          </c:tx>
          <c:layout/>
          <c:overlay val="0"/>
          <c:spPr>
            <a:noFill/>
            <a:ln>
              <a:noFill/>
            </a:ln>
          </c:spPr>
        </c:title>
        <c:delete val="0"/>
        <c:numFmt formatCode="General" sourceLinked="1"/>
        <c:majorTickMark val="out"/>
        <c:minorTickMark val="none"/>
        <c:tickLblPos val="nextTo"/>
        <c:crossAx val="21096944"/>
        <c:crosses val="autoZero"/>
        <c:crossBetween val="midCat"/>
        <c:dispUnits/>
      </c:valAx>
      <c:valAx>
        <c:axId val="21096944"/>
        <c:scaling>
          <c:orientation val="minMax"/>
        </c:scaling>
        <c:axPos val="l"/>
        <c:title>
          <c:tx>
            <c:rich>
              <a:bodyPr vert="horz" rot="-5400000" anchor="ctr"/>
              <a:lstStyle/>
              <a:p>
                <a:pPr algn="ctr">
                  <a:defRPr/>
                </a:pPr>
                <a:r>
                  <a:rPr lang="en-US" cap="none" sz="950" b="1" i="0" u="none" baseline="0">
                    <a:latin typeface="Arial"/>
                    <a:ea typeface="Arial"/>
                    <a:cs typeface="Arial"/>
                  </a:rPr>
                  <a:t>Clint</a:t>
                </a:r>
              </a:p>
            </c:rich>
          </c:tx>
          <c:layout/>
          <c:overlay val="0"/>
          <c:spPr>
            <a:noFill/>
            <a:ln>
              <a:noFill/>
            </a:ln>
          </c:spPr>
        </c:title>
        <c:majorGridlines/>
        <c:delete val="0"/>
        <c:numFmt formatCode="General" sourceLinked="1"/>
        <c:majorTickMark val="out"/>
        <c:minorTickMark val="none"/>
        <c:tickLblPos val="nextTo"/>
        <c:crossAx val="39626807"/>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37.xml" /><Relationship Id="rId2" Type="http://schemas.openxmlformats.org/officeDocument/2006/relationships/chart" Target="/xl/charts/chart3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39.xml" /><Relationship Id="rId2" Type="http://schemas.openxmlformats.org/officeDocument/2006/relationships/chart" Target="/xl/charts/chart4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41.xml" /><Relationship Id="rId2" Type="http://schemas.openxmlformats.org/officeDocument/2006/relationships/chart" Target="/xl/charts/chart4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43.xml" /><Relationship Id="rId2" Type="http://schemas.openxmlformats.org/officeDocument/2006/relationships/chart" Target="/xl/charts/chart44.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45.xml" /><Relationship Id="rId2" Type="http://schemas.openxmlformats.org/officeDocument/2006/relationships/chart" Target="/xl/charts/chart46.xml" /><Relationship Id="rId3" Type="http://schemas.openxmlformats.org/officeDocument/2006/relationships/chart" Target="/xl/charts/chart4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48.xml" /><Relationship Id="rId2" Type="http://schemas.openxmlformats.org/officeDocument/2006/relationships/chart" Target="/xl/charts/chart49.xml" /><Relationship Id="rId3" Type="http://schemas.openxmlformats.org/officeDocument/2006/relationships/chart" Target="/xl/charts/chart50.xml" /><Relationship Id="rId4" Type="http://schemas.openxmlformats.org/officeDocument/2006/relationships/chart" Target="/xl/charts/chart51.xml" /><Relationship Id="rId5" Type="http://schemas.openxmlformats.org/officeDocument/2006/relationships/chart" Target="/xl/charts/chart5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 Id="rId6" Type="http://schemas.openxmlformats.org/officeDocument/2006/relationships/chart" Target="/xl/charts/chart8.xm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chart" Target="/xl/charts/chart53.xml" /><Relationship Id="rId4" Type="http://schemas.openxmlformats.org/officeDocument/2006/relationships/chart" Target="/xl/charts/chart54.xml" /><Relationship Id="rId5" Type="http://schemas.openxmlformats.org/officeDocument/2006/relationships/chart" Target="/xl/charts/chart55.xml" /><Relationship Id="rId6" Type="http://schemas.openxmlformats.org/officeDocument/2006/relationships/chart" Target="/xl/charts/chart56.xml" /><Relationship Id="rId7" Type="http://schemas.openxmlformats.org/officeDocument/2006/relationships/chart" Target="/xl/charts/chart57.xml" /><Relationship Id="rId8" Type="http://schemas.openxmlformats.org/officeDocument/2006/relationships/chart" Target="/xl/charts/chart58.xml" /><Relationship Id="rId9" Type="http://schemas.openxmlformats.org/officeDocument/2006/relationships/chart" Target="/xl/charts/chart59.xml" /><Relationship Id="rId10" Type="http://schemas.openxmlformats.org/officeDocument/2006/relationships/chart" Target="/xl/charts/chart60.xml" /><Relationship Id="rId11" Type="http://schemas.openxmlformats.org/officeDocument/2006/relationships/chart" Target="/xl/charts/chart61.xml" /><Relationship Id="rId12" Type="http://schemas.openxmlformats.org/officeDocument/2006/relationships/chart" Target="/xl/charts/chart62.xml" /><Relationship Id="rId13" Type="http://schemas.openxmlformats.org/officeDocument/2006/relationships/chart" Target="/xl/charts/chart63.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64.xml" /><Relationship Id="rId2" Type="http://schemas.openxmlformats.org/officeDocument/2006/relationships/chart" Target="/xl/charts/chart65.xml" /><Relationship Id="rId3" Type="http://schemas.openxmlformats.org/officeDocument/2006/relationships/chart" Target="/xl/charts/chart66.xml" /><Relationship Id="rId4" Type="http://schemas.openxmlformats.org/officeDocument/2006/relationships/chart" Target="/xl/charts/chart67.xml" /><Relationship Id="rId5" Type="http://schemas.openxmlformats.org/officeDocument/2006/relationships/chart" Target="/xl/charts/chart68.xml" /><Relationship Id="rId6" Type="http://schemas.openxmlformats.org/officeDocument/2006/relationships/chart" Target="/xl/charts/chart69.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70.xml" /><Relationship Id="rId2" Type="http://schemas.openxmlformats.org/officeDocument/2006/relationships/chart" Target="/xl/charts/chart7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72.xml" /><Relationship Id="rId2" Type="http://schemas.openxmlformats.org/officeDocument/2006/relationships/chart" Target="/xl/charts/chart73.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74.xml" /><Relationship Id="rId2" Type="http://schemas.openxmlformats.org/officeDocument/2006/relationships/chart" Target="/xl/charts/chart75.xml" /><Relationship Id="rId3" Type="http://schemas.openxmlformats.org/officeDocument/2006/relationships/chart" Target="/xl/charts/chart76.xml" /><Relationship Id="rId4" Type="http://schemas.openxmlformats.org/officeDocument/2006/relationships/chart" Target="/xl/charts/chart77.xml" /><Relationship Id="rId5" Type="http://schemas.openxmlformats.org/officeDocument/2006/relationships/chart" Target="/xl/charts/chart78.xml" /><Relationship Id="rId6" Type="http://schemas.openxmlformats.org/officeDocument/2006/relationships/chart" Target="/xl/charts/chart79.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80.xml" /><Relationship Id="rId2" Type="http://schemas.openxmlformats.org/officeDocument/2006/relationships/chart" Target="/xl/charts/chart81.xml" /><Relationship Id="rId3" Type="http://schemas.openxmlformats.org/officeDocument/2006/relationships/chart" Target="/xl/charts/chart82.xml" /><Relationship Id="rId4" Type="http://schemas.openxmlformats.org/officeDocument/2006/relationships/chart" Target="/xl/charts/chart83.xml" /><Relationship Id="rId5" Type="http://schemas.openxmlformats.org/officeDocument/2006/relationships/chart" Target="/xl/charts/chart84.xml" /><Relationship Id="rId6" Type="http://schemas.openxmlformats.org/officeDocument/2006/relationships/chart" Target="/xl/charts/chart85.xml" /><Relationship Id="rId7" Type="http://schemas.openxmlformats.org/officeDocument/2006/relationships/chart" Target="/xl/charts/chart86.xml" /><Relationship Id="rId8" Type="http://schemas.openxmlformats.org/officeDocument/2006/relationships/chart" Target="/xl/charts/chart87.xml" /><Relationship Id="rId9" Type="http://schemas.openxmlformats.org/officeDocument/2006/relationships/chart" Target="/xl/charts/chart88.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89.xml" /><Relationship Id="rId2" Type="http://schemas.openxmlformats.org/officeDocument/2006/relationships/chart" Target="/xl/charts/chart90.xml" /><Relationship Id="rId3" Type="http://schemas.openxmlformats.org/officeDocument/2006/relationships/chart" Target="/xl/charts/chart91.xml" /><Relationship Id="rId4" Type="http://schemas.openxmlformats.org/officeDocument/2006/relationships/chart" Target="/xl/charts/chart92.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93.xml" /><Relationship Id="rId2" Type="http://schemas.openxmlformats.org/officeDocument/2006/relationships/chart" Target="/xl/charts/chart94.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95.xml" /><Relationship Id="rId2" Type="http://schemas.openxmlformats.org/officeDocument/2006/relationships/chart" Target="/xl/charts/chart96.xml" /><Relationship Id="rId3" Type="http://schemas.openxmlformats.org/officeDocument/2006/relationships/chart" Target="/xl/charts/chart97.xml" /><Relationship Id="rId4" Type="http://schemas.openxmlformats.org/officeDocument/2006/relationships/chart" Target="/xl/charts/chart98.xml" /><Relationship Id="rId5" Type="http://schemas.openxmlformats.org/officeDocument/2006/relationships/chart" Target="/xl/charts/chart99.xml" /><Relationship Id="rId6" Type="http://schemas.openxmlformats.org/officeDocument/2006/relationships/chart" Target="/xl/charts/chart100.xml" /><Relationship Id="rId7" Type="http://schemas.openxmlformats.org/officeDocument/2006/relationships/chart" Target="/xl/charts/chart101.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102.xml" /><Relationship Id="rId2" Type="http://schemas.openxmlformats.org/officeDocument/2006/relationships/chart" Target="/xl/charts/chart103.xml" /><Relationship Id="rId3" Type="http://schemas.openxmlformats.org/officeDocument/2006/relationships/chart" Target="/xl/charts/chart104.xml" /><Relationship Id="rId4" Type="http://schemas.openxmlformats.org/officeDocument/2006/relationships/chart" Target="/xl/charts/chart105.xml" /><Relationship Id="rId5" Type="http://schemas.openxmlformats.org/officeDocument/2006/relationships/chart" Target="/xl/charts/chart106.xml" /><Relationship Id="rId6" Type="http://schemas.openxmlformats.org/officeDocument/2006/relationships/chart" Target="/xl/charts/chart107.xml" /><Relationship Id="rId7" Type="http://schemas.openxmlformats.org/officeDocument/2006/relationships/chart" Target="/xl/charts/chart108.xml" /><Relationship Id="rId8" Type="http://schemas.openxmlformats.org/officeDocument/2006/relationships/chart" Target="/xl/charts/chart10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 Id="rId5" Type="http://schemas.openxmlformats.org/officeDocument/2006/relationships/chart" Target="/xl/charts/chart13.xml" /><Relationship Id="rId6" Type="http://schemas.openxmlformats.org/officeDocument/2006/relationships/chart" Target="/xl/charts/chart14.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110.xml" /><Relationship Id="rId2" Type="http://schemas.openxmlformats.org/officeDocument/2006/relationships/chart" Target="/xl/charts/chart111.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112.xml" /><Relationship Id="rId2" Type="http://schemas.openxmlformats.org/officeDocument/2006/relationships/chart" Target="/xl/charts/chart113.xml" /><Relationship Id="rId3" Type="http://schemas.openxmlformats.org/officeDocument/2006/relationships/chart" Target="/xl/charts/chart114.xml" /><Relationship Id="rId4" Type="http://schemas.openxmlformats.org/officeDocument/2006/relationships/chart" Target="/xl/charts/chart115.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116.xml" /><Relationship Id="rId2" Type="http://schemas.openxmlformats.org/officeDocument/2006/relationships/chart" Target="/xl/charts/chart117.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118.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119.xml" /><Relationship Id="rId2" Type="http://schemas.openxmlformats.org/officeDocument/2006/relationships/chart" Target="/xl/charts/chart120.xml" /><Relationship Id="rId3" Type="http://schemas.openxmlformats.org/officeDocument/2006/relationships/chart" Target="/xl/charts/chart121.xml" /><Relationship Id="rId4" Type="http://schemas.openxmlformats.org/officeDocument/2006/relationships/chart" Target="/xl/charts/chart122.xml" /><Relationship Id="rId5" Type="http://schemas.openxmlformats.org/officeDocument/2006/relationships/chart" Target="/xl/charts/chart123.xml" /><Relationship Id="rId6" Type="http://schemas.openxmlformats.org/officeDocument/2006/relationships/chart" Target="/xl/charts/chart124.xml" /></Relationships>
</file>

<file path=xl/drawings/_rels/drawing35.xml.rels><?xml version="1.0" encoding="utf-8" standalone="yes"?><Relationships xmlns="http://schemas.openxmlformats.org/package/2006/relationships"><Relationship Id="rId1" Type="http://schemas.openxmlformats.org/officeDocument/2006/relationships/chart" Target="/xl/charts/chart125.xml" /><Relationship Id="rId2" Type="http://schemas.openxmlformats.org/officeDocument/2006/relationships/chart" Target="/xl/charts/chart126.xml" /><Relationship Id="rId3" Type="http://schemas.openxmlformats.org/officeDocument/2006/relationships/chart" Target="/xl/charts/chart127.xml" /><Relationship Id="rId4" Type="http://schemas.openxmlformats.org/officeDocument/2006/relationships/chart" Target="/xl/charts/chart128.xml" /></Relationships>
</file>

<file path=xl/drawings/_rels/drawing36.xml.rels><?xml version="1.0" encoding="utf-8" standalone="yes"?><Relationships xmlns="http://schemas.openxmlformats.org/package/2006/relationships"><Relationship Id="rId1" Type="http://schemas.openxmlformats.org/officeDocument/2006/relationships/chart" Target="/xl/charts/chart129.xml" /><Relationship Id="rId2" Type="http://schemas.openxmlformats.org/officeDocument/2006/relationships/chart" Target="/xl/charts/chart130.xml" /></Relationships>
</file>

<file path=xl/drawings/_rels/drawing37.xml.rels><?xml version="1.0" encoding="utf-8" standalone="yes"?><Relationships xmlns="http://schemas.openxmlformats.org/package/2006/relationships"><Relationship Id="rId1" Type="http://schemas.openxmlformats.org/officeDocument/2006/relationships/chart" Target="/xl/charts/chart131.xml" /><Relationship Id="rId2" Type="http://schemas.openxmlformats.org/officeDocument/2006/relationships/chart" Target="/xl/charts/chart132.xml" /></Relationships>
</file>

<file path=xl/drawings/_rels/drawing38.xml.rels><?xml version="1.0" encoding="utf-8" standalone="yes"?><Relationships xmlns="http://schemas.openxmlformats.org/package/2006/relationships"><Relationship Id="rId1" Type="http://schemas.openxmlformats.org/officeDocument/2006/relationships/chart" Target="/xl/charts/chart133.xml" /></Relationships>
</file>

<file path=xl/drawings/_rels/drawing39.xml.rels><?xml version="1.0" encoding="utf-8" standalone="yes"?><Relationships xmlns="http://schemas.openxmlformats.org/package/2006/relationships"><Relationship Id="rId1" Type="http://schemas.openxmlformats.org/officeDocument/2006/relationships/chart" Target="/xl/charts/chart13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s>
</file>

<file path=xl/drawings/_rels/drawing40.xml.rels><?xml version="1.0" encoding="utf-8" standalone="yes"?><Relationships xmlns="http://schemas.openxmlformats.org/package/2006/relationships"><Relationship Id="rId1" Type="http://schemas.openxmlformats.org/officeDocument/2006/relationships/chart" Target="/xl/charts/chart135.xml" /></Relationships>
</file>

<file path=xl/drawings/_rels/drawing41.xml.rels><?xml version="1.0" encoding="utf-8" standalone="yes"?><Relationships xmlns="http://schemas.openxmlformats.org/package/2006/relationships"><Relationship Id="rId1" Type="http://schemas.openxmlformats.org/officeDocument/2006/relationships/chart" Target="/xl/charts/chart136.xml" /></Relationships>
</file>

<file path=xl/drawings/_rels/drawing42.xml.rels><?xml version="1.0" encoding="utf-8" standalone="yes"?><Relationships xmlns="http://schemas.openxmlformats.org/package/2006/relationships"><Relationship Id="rId1" Type="http://schemas.openxmlformats.org/officeDocument/2006/relationships/chart" Target="/xl/charts/chart137.xml" /></Relationships>
</file>

<file path=xl/drawings/_rels/drawing43.xml.rels><?xml version="1.0" encoding="utf-8" standalone="yes"?><Relationships xmlns="http://schemas.openxmlformats.org/package/2006/relationships"><Relationship Id="rId1" Type="http://schemas.openxmlformats.org/officeDocument/2006/relationships/chart" Target="/xl/charts/chart138.xml" /></Relationships>
</file>

<file path=xl/drawings/_rels/drawing44.xml.rels><?xml version="1.0" encoding="utf-8" standalone="yes"?><Relationships xmlns="http://schemas.openxmlformats.org/package/2006/relationships"><Relationship Id="rId1" Type="http://schemas.openxmlformats.org/officeDocument/2006/relationships/chart" Target="/xl/charts/chart139.xml" /></Relationships>
</file>

<file path=xl/drawings/_rels/drawing45.xml.rels><?xml version="1.0" encoding="utf-8" standalone="yes"?><Relationships xmlns="http://schemas.openxmlformats.org/package/2006/relationships"><Relationship Id="rId1" Type="http://schemas.openxmlformats.org/officeDocument/2006/relationships/chart" Target="/xl/charts/chart140.xml" /></Relationships>
</file>

<file path=xl/drawings/_rels/drawing46.xml.rels><?xml version="1.0" encoding="utf-8" standalone="yes"?><Relationships xmlns="http://schemas.openxmlformats.org/package/2006/relationships"><Relationship Id="rId1" Type="http://schemas.openxmlformats.org/officeDocument/2006/relationships/chart" Target="/xl/charts/chart141.xml" /></Relationships>
</file>

<file path=xl/drawings/_rels/drawing47.xml.rels><?xml version="1.0" encoding="utf-8" standalone="yes"?><Relationships xmlns="http://schemas.openxmlformats.org/package/2006/relationships"><Relationship Id="rId1" Type="http://schemas.openxmlformats.org/officeDocument/2006/relationships/chart" Target="/xl/charts/chart142.xml" /></Relationships>
</file>

<file path=xl/drawings/_rels/drawing48.xml.rels><?xml version="1.0" encoding="utf-8" standalone="yes"?><Relationships xmlns="http://schemas.openxmlformats.org/package/2006/relationships"><Relationship Id="rId1" Type="http://schemas.openxmlformats.org/officeDocument/2006/relationships/chart" Target="/xl/charts/chart143.xml" /></Relationships>
</file>

<file path=xl/drawings/_rels/drawing49.xml.rels><?xml version="1.0" encoding="utf-8" standalone="yes"?><Relationships xmlns="http://schemas.openxmlformats.org/package/2006/relationships"><Relationship Id="rId1" Type="http://schemas.openxmlformats.org/officeDocument/2006/relationships/chart" Target="/xl/charts/chart14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chart" Target="/xl/charts/chart1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0.xml" /><Relationship Id="rId2" Type="http://schemas.openxmlformats.org/officeDocument/2006/relationships/chart" Target="/xl/charts/chart2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2.xml" /><Relationship Id="rId2" Type="http://schemas.openxmlformats.org/officeDocument/2006/relationships/chart" Target="/xl/charts/chart23.xml" /><Relationship Id="rId3" Type="http://schemas.openxmlformats.org/officeDocument/2006/relationships/chart" Target="/xl/charts/chart24.xml" /><Relationship Id="rId4" Type="http://schemas.openxmlformats.org/officeDocument/2006/relationships/chart" Target="/xl/charts/chart25.xml" /><Relationship Id="rId5" Type="http://schemas.openxmlformats.org/officeDocument/2006/relationships/chart" Target="/xl/charts/chart26.xml" /><Relationship Id="rId6" Type="http://schemas.openxmlformats.org/officeDocument/2006/relationships/chart" Target="/xl/charts/chart27.xml" /><Relationship Id="rId7" Type="http://schemas.openxmlformats.org/officeDocument/2006/relationships/chart" Target="/xl/charts/chart28.xml" /><Relationship Id="rId8" Type="http://schemas.openxmlformats.org/officeDocument/2006/relationships/chart" Target="/xl/charts/chart29.xml" /><Relationship Id="rId9" Type="http://schemas.openxmlformats.org/officeDocument/2006/relationships/chart" Target="/xl/charts/chart30.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31.xml" /><Relationship Id="rId2" Type="http://schemas.openxmlformats.org/officeDocument/2006/relationships/chart" Target="/xl/charts/chart32.xml" /><Relationship Id="rId3" Type="http://schemas.openxmlformats.org/officeDocument/2006/relationships/chart" Target="/xl/charts/chart33.xml" /><Relationship Id="rId4" Type="http://schemas.openxmlformats.org/officeDocument/2006/relationships/chart" Target="/xl/charts/chart3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5.xml" /><Relationship Id="rId2" Type="http://schemas.openxmlformats.org/officeDocument/2006/relationships/chart" Target="/xl/charts/chart3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246</xdr:col>
      <xdr:colOff>200025</xdr:colOff>
      <xdr:row>17</xdr:row>
      <xdr:rowOff>1076325</xdr:rowOff>
    </xdr:from>
    <xdr:to>
      <xdr:col>255</xdr:col>
      <xdr:colOff>600075</xdr:colOff>
      <xdr:row>34</xdr:row>
      <xdr:rowOff>142875</xdr:rowOff>
    </xdr:to>
    <xdr:graphicFrame>
      <xdr:nvGraphicFramePr>
        <xdr:cNvPr id="1" name="Chart 1"/>
        <xdr:cNvGraphicFramePr/>
      </xdr:nvGraphicFramePr>
      <xdr:xfrm>
        <a:off x="151095075" y="5248275"/>
        <a:ext cx="5886450" cy="3371850"/>
      </xdr:xfrm>
      <a:graphic>
        <a:graphicData uri="http://schemas.openxmlformats.org/drawingml/2006/chart">
          <c:chart xmlns:c="http://schemas.openxmlformats.org/drawingml/2006/chart" r:id="rId1"/>
        </a:graphicData>
      </a:graphic>
    </xdr:graphicFrame>
    <xdr:clientData/>
  </xdr:twoCellAnchor>
  <xdr:twoCellAnchor>
    <xdr:from>
      <xdr:col>77</xdr:col>
      <xdr:colOff>200025</xdr:colOff>
      <xdr:row>37</xdr:row>
      <xdr:rowOff>85725</xdr:rowOff>
    </xdr:from>
    <xdr:to>
      <xdr:col>86</xdr:col>
      <xdr:colOff>600075</xdr:colOff>
      <xdr:row>55</xdr:row>
      <xdr:rowOff>114300</xdr:rowOff>
    </xdr:to>
    <xdr:graphicFrame>
      <xdr:nvGraphicFramePr>
        <xdr:cNvPr id="2" name="Chart 2"/>
        <xdr:cNvGraphicFramePr/>
      </xdr:nvGraphicFramePr>
      <xdr:xfrm>
        <a:off x="48072675" y="9077325"/>
        <a:ext cx="5886450" cy="2971800"/>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23</xdr:row>
      <xdr:rowOff>95250</xdr:rowOff>
    </xdr:from>
    <xdr:to>
      <xdr:col>12</xdr:col>
      <xdr:colOff>190500</xdr:colOff>
      <xdr:row>41</xdr:row>
      <xdr:rowOff>152400</xdr:rowOff>
    </xdr:to>
    <xdr:graphicFrame>
      <xdr:nvGraphicFramePr>
        <xdr:cNvPr id="1" name="Chart 1"/>
        <xdr:cNvGraphicFramePr/>
      </xdr:nvGraphicFramePr>
      <xdr:xfrm>
        <a:off x="2371725" y="4467225"/>
        <a:ext cx="6048375" cy="2971800"/>
      </xdr:xfrm>
      <a:graphic>
        <a:graphicData uri="http://schemas.openxmlformats.org/drawingml/2006/chart">
          <c:chart xmlns:c="http://schemas.openxmlformats.org/drawingml/2006/chart" r:id="rId1"/>
        </a:graphicData>
      </a:graphic>
    </xdr:graphicFrame>
    <xdr:clientData/>
  </xdr:twoCellAnchor>
  <xdr:twoCellAnchor>
    <xdr:from>
      <xdr:col>12</xdr:col>
      <xdr:colOff>314325</xdr:colOff>
      <xdr:row>23</xdr:row>
      <xdr:rowOff>66675</xdr:rowOff>
    </xdr:from>
    <xdr:to>
      <xdr:col>21</xdr:col>
      <xdr:colOff>485775</xdr:colOff>
      <xdr:row>41</xdr:row>
      <xdr:rowOff>104775</xdr:rowOff>
    </xdr:to>
    <xdr:graphicFrame>
      <xdr:nvGraphicFramePr>
        <xdr:cNvPr id="2" name="Chart 2"/>
        <xdr:cNvGraphicFramePr/>
      </xdr:nvGraphicFramePr>
      <xdr:xfrm>
        <a:off x="8543925" y="4438650"/>
        <a:ext cx="5753100" cy="2952750"/>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419100</xdr:colOff>
      <xdr:row>24</xdr:row>
      <xdr:rowOff>9525</xdr:rowOff>
    </xdr:from>
    <xdr:to>
      <xdr:col>19</xdr:col>
      <xdr:colOff>219075</xdr:colOff>
      <xdr:row>42</xdr:row>
      <xdr:rowOff>66675</xdr:rowOff>
    </xdr:to>
    <xdr:graphicFrame>
      <xdr:nvGraphicFramePr>
        <xdr:cNvPr id="1" name="Chart 1"/>
        <xdr:cNvGraphicFramePr/>
      </xdr:nvGraphicFramePr>
      <xdr:xfrm>
        <a:off x="6867525" y="4552950"/>
        <a:ext cx="5705475" cy="2971800"/>
      </xdr:xfrm>
      <a:graphic>
        <a:graphicData uri="http://schemas.openxmlformats.org/drawingml/2006/chart">
          <c:chart xmlns:c="http://schemas.openxmlformats.org/drawingml/2006/chart" r:id="rId1"/>
        </a:graphicData>
      </a:graphic>
    </xdr:graphicFrame>
    <xdr:clientData/>
  </xdr:twoCellAnchor>
  <xdr:twoCellAnchor>
    <xdr:from>
      <xdr:col>19</xdr:col>
      <xdr:colOff>523875</xdr:colOff>
      <xdr:row>24</xdr:row>
      <xdr:rowOff>66675</xdr:rowOff>
    </xdr:from>
    <xdr:to>
      <xdr:col>29</xdr:col>
      <xdr:colOff>323850</xdr:colOff>
      <xdr:row>42</xdr:row>
      <xdr:rowOff>104775</xdr:rowOff>
    </xdr:to>
    <xdr:graphicFrame>
      <xdr:nvGraphicFramePr>
        <xdr:cNvPr id="2" name="Chart 2"/>
        <xdr:cNvGraphicFramePr/>
      </xdr:nvGraphicFramePr>
      <xdr:xfrm>
        <a:off x="12877800" y="4610100"/>
        <a:ext cx="5705475" cy="2952750"/>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28</xdr:row>
      <xdr:rowOff>133350</xdr:rowOff>
    </xdr:from>
    <xdr:to>
      <xdr:col>22</xdr:col>
      <xdr:colOff>304800</xdr:colOff>
      <xdr:row>47</xdr:row>
      <xdr:rowOff>9525</xdr:rowOff>
    </xdr:to>
    <xdr:graphicFrame>
      <xdr:nvGraphicFramePr>
        <xdr:cNvPr id="1" name="Chart 1"/>
        <xdr:cNvGraphicFramePr/>
      </xdr:nvGraphicFramePr>
      <xdr:xfrm>
        <a:off x="8782050" y="5372100"/>
        <a:ext cx="5724525" cy="2952750"/>
      </xdr:xfrm>
      <a:graphic>
        <a:graphicData uri="http://schemas.openxmlformats.org/drawingml/2006/chart">
          <c:chart xmlns:c="http://schemas.openxmlformats.org/drawingml/2006/chart" r:id="rId1"/>
        </a:graphicData>
      </a:graphic>
    </xdr:graphicFrame>
    <xdr:clientData/>
  </xdr:twoCellAnchor>
  <xdr:twoCellAnchor>
    <xdr:from>
      <xdr:col>23</xdr:col>
      <xdr:colOff>323850</xdr:colOff>
      <xdr:row>28</xdr:row>
      <xdr:rowOff>152400</xdr:rowOff>
    </xdr:from>
    <xdr:to>
      <xdr:col>33</xdr:col>
      <xdr:colOff>123825</xdr:colOff>
      <xdr:row>47</xdr:row>
      <xdr:rowOff>38100</xdr:rowOff>
    </xdr:to>
    <xdr:graphicFrame>
      <xdr:nvGraphicFramePr>
        <xdr:cNvPr id="2" name="Chart 2"/>
        <xdr:cNvGraphicFramePr/>
      </xdr:nvGraphicFramePr>
      <xdr:xfrm>
        <a:off x="15116175" y="5391150"/>
        <a:ext cx="5705475" cy="2962275"/>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247650</xdr:colOff>
      <xdr:row>24</xdr:row>
      <xdr:rowOff>66675</xdr:rowOff>
    </xdr:from>
    <xdr:to>
      <xdr:col>19</xdr:col>
      <xdr:colOff>476250</xdr:colOff>
      <xdr:row>47</xdr:row>
      <xdr:rowOff>152400</xdr:rowOff>
    </xdr:to>
    <xdr:graphicFrame>
      <xdr:nvGraphicFramePr>
        <xdr:cNvPr id="1" name="Chart 1"/>
        <xdr:cNvGraphicFramePr/>
      </xdr:nvGraphicFramePr>
      <xdr:xfrm>
        <a:off x="7505700" y="4648200"/>
        <a:ext cx="5753100" cy="3810000"/>
      </xdr:xfrm>
      <a:graphic>
        <a:graphicData uri="http://schemas.openxmlformats.org/drawingml/2006/chart">
          <c:chart xmlns:c="http://schemas.openxmlformats.org/drawingml/2006/chart" r:id="rId1"/>
        </a:graphicData>
      </a:graphic>
    </xdr:graphicFrame>
    <xdr:clientData/>
  </xdr:twoCellAnchor>
  <xdr:twoCellAnchor>
    <xdr:from>
      <xdr:col>21</xdr:col>
      <xdr:colOff>247650</xdr:colOff>
      <xdr:row>24</xdr:row>
      <xdr:rowOff>38100</xdr:rowOff>
    </xdr:from>
    <xdr:to>
      <xdr:col>31</xdr:col>
      <xdr:colOff>19050</xdr:colOff>
      <xdr:row>47</xdr:row>
      <xdr:rowOff>57150</xdr:rowOff>
    </xdr:to>
    <xdr:graphicFrame>
      <xdr:nvGraphicFramePr>
        <xdr:cNvPr id="2" name="Chart 2"/>
        <xdr:cNvGraphicFramePr/>
      </xdr:nvGraphicFramePr>
      <xdr:xfrm>
        <a:off x="14211300" y="4619625"/>
        <a:ext cx="5676900" cy="3743325"/>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85725</xdr:colOff>
      <xdr:row>28</xdr:row>
      <xdr:rowOff>152400</xdr:rowOff>
    </xdr:from>
    <xdr:to>
      <xdr:col>21</xdr:col>
      <xdr:colOff>123825</xdr:colOff>
      <xdr:row>47</xdr:row>
      <xdr:rowOff>28575</xdr:rowOff>
    </xdr:to>
    <xdr:graphicFrame>
      <xdr:nvGraphicFramePr>
        <xdr:cNvPr id="1" name="Chart 1"/>
        <xdr:cNvGraphicFramePr/>
      </xdr:nvGraphicFramePr>
      <xdr:xfrm>
        <a:off x="7781925" y="5334000"/>
        <a:ext cx="5753100" cy="2952750"/>
      </xdr:xfrm>
      <a:graphic>
        <a:graphicData uri="http://schemas.openxmlformats.org/drawingml/2006/chart">
          <c:chart xmlns:c="http://schemas.openxmlformats.org/drawingml/2006/chart" r:id="rId1"/>
        </a:graphicData>
      </a:graphic>
    </xdr:graphicFrame>
    <xdr:clientData/>
  </xdr:twoCellAnchor>
  <xdr:twoCellAnchor>
    <xdr:from>
      <xdr:col>12</xdr:col>
      <xdr:colOff>76200</xdr:colOff>
      <xdr:row>47</xdr:row>
      <xdr:rowOff>152400</xdr:rowOff>
    </xdr:from>
    <xdr:to>
      <xdr:col>21</xdr:col>
      <xdr:colOff>114300</xdr:colOff>
      <xdr:row>66</xdr:row>
      <xdr:rowOff>28575</xdr:rowOff>
    </xdr:to>
    <xdr:graphicFrame>
      <xdr:nvGraphicFramePr>
        <xdr:cNvPr id="2" name="Chart 2"/>
        <xdr:cNvGraphicFramePr/>
      </xdr:nvGraphicFramePr>
      <xdr:xfrm>
        <a:off x="7772400" y="8410575"/>
        <a:ext cx="5753100" cy="2952750"/>
      </xdr:xfrm>
      <a:graphic>
        <a:graphicData uri="http://schemas.openxmlformats.org/drawingml/2006/chart">
          <c:chart xmlns:c="http://schemas.openxmlformats.org/drawingml/2006/chart" r:id="rId2"/>
        </a:graphicData>
      </a:graphic>
    </xdr:graphicFrame>
    <xdr:clientData/>
  </xdr:twoCellAnchor>
  <xdr:twoCellAnchor>
    <xdr:from>
      <xdr:col>21</xdr:col>
      <xdr:colOff>514350</xdr:colOff>
      <xdr:row>29</xdr:row>
      <xdr:rowOff>95250</xdr:rowOff>
    </xdr:from>
    <xdr:to>
      <xdr:col>31</xdr:col>
      <xdr:colOff>314325</xdr:colOff>
      <xdr:row>47</xdr:row>
      <xdr:rowOff>152400</xdr:rowOff>
    </xdr:to>
    <xdr:graphicFrame>
      <xdr:nvGraphicFramePr>
        <xdr:cNvPr id="3" name="Chart 3"/>
        <xdr:cNvGraphicFramePr/>
      </xdr:nvGraphicFramePr>
      <xdr:xfrm>
        <a:off x="13925550" y="5438775"/>
        <a:ext cx="5705475" cy="2971800"/>
      </xdr:xfrm>
      <a:graphic>
        <a:graphicData uri="http://schemas.openxmlformats.org/drawingml/2006/chart">
          <c:chart xmlns:c="http://schemas.openxmlformats.org/drawingml/2006/chart" r:id="rId3"/>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0.529</cdr:x>
      <cdr:y>0.42725</cdr:y>
    </cdr:from>
    <cdr:to>
      <cdr:x>0.55475</cdr:x>
      <cdr:y>0.5145</cdr:y>
    </cdr:to>
    <cdr:sp>
      <cdr:nvSpPr>
        <cdr:cNvPr id="1" name="TextBox 1"/>
        <cdr:cNvSpPr txBox="1">
          <a:spLocks noChangeArrowheads="1"/>
        </cdr:cNvSpPr>
      </cdr:nvSpPr>
      <cdr:spPr>
        <a:xfrm>
          <a:off x="3648075" y="1152525"/>
          <a:ext cx="180975" cy="2381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0</a:t>
          </a:r>
        </a:p>
      </cdr:txBody>
    </cdr:sp>
  </cdr:relSizeAnchor>
  <cdr:relSizeAnchor xmlns:cdr="http://schemas.openxmlformats.org/drawingml/2006/chartDrawing">
    <cdr:from>
      <cdr:x>0.373</cdr:x>
      <cdr:y>0</cdr:y>
    </cdr:from>
    <cdr:to>
      <cdr:x>0.60175</cdr:x>
      <cdr:y>0.078</cdr:y>
    </cdr:to>
    <cdr:sp>
      <cdr:nvSpPr>
        <cdr:cNvPr id="2" name="TextBox 2"/>
        <cdr:cNvSpPr txBox="1">
          <a:spLocks noChangeArrowheads="1"/>
        </cdr:cNvSpPr>
      </cdr:nvSpPr>
      <cdr:spPr>
        <a:xfrm>
          <a:off x="2571750" y="0"/>
          <a:ext cx="1581150" cy="209550"/>
        </a:xfrm>
        <a:prstGeom prst="rect">
          <a:avLst/>
        </a:prstGeom>
        <a:noFill/>
        <a:ln w="9525" cmpd="sng">
          <a:noFill/>
        </a:ln>
      </cdr:spPr>
      <cdr:txBody>
        <a:bodyPr vertOverflow="clip" wrap="square"/>
        <a:p>
          <a:pPr algn="l">
            <a:defRPr/>
          </a:pPr>
          <a:r>
            <a:rPr lang="en-US" cap="none" sz="975" b="0" i="0" u="none" baseline="0">
              <a:latin typeface="Arial"/>
              <a:ea typeface="Arial"/>
              <a:cs typeface="Arial"/>
            </a:rPr>
            <a:t>PMA O-demethylation</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0.3995</cdr:x>
      <cdr:y>0.0175</cdr:y>
    </cdr:from>
    <cdr:to>
      <cdr:x>0.6565</cdr:x>
      <cdr:y>0.18025</cdr:y>
    </cdr:to>
    <cdr:sp>
      <cdr:nvSpPr>
        <cdr:cNvPr id="1" name="TextBox 1"/>
        <cdr:cNvSpPr txBox="1">
          <a:spLocks noChangeArrowheads="1"/>
        </cdr:cNvSpPr>
      </cdr:nvSpPr>
      <cdr:spPr>
        <a:xfrm>
          <a:off x="2305050" y="47625"/>
          <a:ext cx="1485900" cy="447675"/>
        </a:xfrm>
        <a:prstGeom prst="rect">
          <a:avLst/>
        </a:prstGeom>
        <a:noFill/>
        <a:ln w="9525" cmpd="sng">
          <a:noFill/>
        </a:ln>
      </cdr:spPr>
      <cdr:txBody>
        <a:bodyPr vertOverflow="clip" wrap="square"/>
        <a:p>
          <a:pPr algn="l">
            <a:defRPr/>
          </a:pPr>
          <a:r>
            <a:rPr lang="en-US" cap="none" sz="975" b="0" i="0" u="none" baseline="0">
              <a:latin typeface="Arial"/>
              <a:ea typeface="Arial"/>
              <a:cs typeface="Arial"/>
            </a:rPr>
            <a:t>PMA O-demethylation</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0.3805</cdr:x>
      <cdr:y>0</cdr:y>
    </cdr:from>
    <cdr:to>
      <cdr:x>0.62575</cdr:x>
      <cdr:y>0.06725</cdr:y>
    </cdr:to>
    <cdr:sp>
      <cdr:nvSpPr>
        <cdr:cNvPr id="1" name="TextBox 1"/>
        <cdr:cNvSpPr txBox="1">
          <a:spLocks noChangeArrowheads="1"/>
        </cdr:cNvSpPr>
      </cdr:nvSpPr>
      <cdr:spPr>
        <a:xfrm>
          <a:off x="2162175" y="0"/>
          <a:ext cx="1400175" cy="190500"/>
        </a:xfrm>
        <a:prstGeom prst="rect">
          <a:avLst/>
        </a:prstGeom>
        <a:noFill/>
        <a:ln w="9525" cmpd="sng">
          <a:noFill/>
        </a:ln>
      </cdr:spPr>
      <cdr:txBody>
        <a:bodyPr vertOverflow="clip" wrap="square"/>
        <a:p>
          <a:pPr algn="l">
            <a:defRPr/>
          </a:pPr>
          <a:r>
            <a:rPr lang="en-US" cap="none" sz="975" b="0" i="0" u="none" baseline="0">
              <a:latin typeface="Arial"/>
              <a:ea typeface="Arial"/>
              <a:cs typeface="Arial"/>
            </a:rPr>
            <a:t>PMA O-demethylation</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476250</xdr:colOff>
      <xdr:row>23</xdr:row>
      <xdr:rowOff>104775</xdr:rowOff>
    </xdr:from>
    <xdr:to>
      <xdr:col>23</xdr:col>
      <xdr:colOff>257175</xdr:colOff>
      <xdr:row>40</xdr:row>
      <xdr:rowOff>66675</xdr:rowOff>
    </xdr:to>
    <xdr:graphicFrame>
      <xdr:nvGraphicFramePr>
        <xdr:cNvPr id="1" name="Chart 1"/>
        <xdr:cNvGraphicFramePr/>
      </xdr:nvGraphicFramePr>
      <xdr:xfrm>
        <a:off x="7381875" y="4486275"/>
        <a:ext cx="7953375" cy="2714625"/>
      </xdr:xfrm>
      <a:graphic>
        <a:graphicData uri="http://schemas.openxmlformats.org/drawingml/2006/chart">
          <c:chart xmlns:c="http://schemas.openxmlformats.org/drawingml/2006/chart" r:id="rId1"/>
        </a:graphicData>
      </a:graphic>
    </xdr:graphicFrame>
    <xdr:clientData/>
  </xdr:twoCellAnchor>
  <xdr:twoCellAnchor>
    <xdr:from>
      <xdr:col>13</xdr:col>
      <xdr:colOff>9525</xdr:colOff>
      <xdr:row>39</xdr:row>
      <xdr:rowOff>104775</xdr:rowOff>
    </xdr:from>
    <xdr:to>
      <xdr:col>23</xdr:col>
      <xdr:colOff>400050</xdr:colOff>
      <xdr:row>56</xdr:row>
      <xdr:rowOff>66675</xdr:rowOff>
    </xdr:to>
    <xdr:graphicFrame>
      <xdr:nvGraphicFramePr>
        <xdr:cNvPr id="2" name="Chart 2"/>
        <xdr:cNvGraphicFramePr/>
      </xdr:nvGraphicFramePr>
      <xdr:xfrm>
        <a:off x="8572500" y="7077075"/>
        <a:ext cx="6905625" cy="2714625"/>
      </xdr:xfrm>
      <a:graphic>
        <a:graphicData uri="http://schemas.openxmlformats.org/drawingml/2006/chart">
          <c:chart xmlns:c="http://schemas.openxmlformats.org/drawingml/2006/chart" r:id="rId2"/>
        </a:graphicData>
      </a:graphic>
    </xdr:graphicFrame>
    <xdr:clientData/>
  </xdr:twoCellAnchor>
  <xdr:twoCellAnchor>
    <xdr:from>
      <xdr:col>3</xdr:col>
      <xdr:colOff>409575</xdr:colOff>
      <xdr:row>41</xdr:row>
      <xdr:rowOff>9525</xdr:rowOff>
    </xdr:from>
    <xdr:to>
      <xdr:col>12</xdr:col>
      <xdr:colOff>219075</xdr:colOff>
      <xdr:row>57</xdr:row>
      <xdr:rowOff>152400</xdr:rowOff>
    </xdr:to>
    <xdr:graphicFrame>
      <xdr:nvGraphicFramePr>
        <xdr:cNvPr id="3" name="Chart 3"/>
        <xdr:cNvGraphicFramePr/>
      </xdr:nvGraphicFramePr>
      <xdr:xfrm>
        <a:off x="2181225" y="7305675"/>
        <a:ext cx="5772150" cy="2733675"/>
      </xdr:xfrm>
      <a:graphic>
        <a:graphicData uri="http://schemas.openxmlformats.org/drawingml/2006/chart">
          <c:chart xmlns:c="http://schemas.openxmlformats.org/drawingml/2006/chart" r:id="rId3"/>
        </a:graphicData>
      </a:graphic>
    </xdr:graphicFrame>
    <xdr:clientData/>
  </xdr:twoCellAnchor>
  <xdr:twoCellAnchor>
    <xdr:from>
      <xdr:col>25</xdr:col>
      <xdr:colOff>504825</xdr:colOff>
      <xdr:row>16</xdr:row>
      <xdr:rowOff>9525</xdr:rowOff>
    </xdr:from>
    <xdr:to>
      <xdr:col>35</xdr:col>
      <xdr:colOff>304800</xdr:colOff>
      <xdr:row>33</xdr:row>
      <xdr:rowOff>152400</xdr:rowOff>
    </xdr:to>
    <xdr:graphicFrame>
      <xdr:nvGraphicFramePr>
        <xdr:cNvPr id="4" name="Chart 4"/>
        <xdr:cNvGraphicFramePr/>
      </xdr:nvGraphicFramePr>
      <xdr:xfrm>
        <a:off x="16764000" y="3257550"/>
        <a:ext cx="5705475" cy="2895600"/>
      </xdr:xfrm>
      <a:graphic>
        <a:graphicData uri="http://schemas.openxmlformats.org/drawingml/2006/chart">
          <c:chart xmlns:c="http://schemas.openxmlformats.org/drawingml/2006/chart" r:id="rId4"/>
        </a:graphicData>
      </a:graphic>
    </xdr:graphicFrame>
    <xdr:clientData/>
  </xdr:twoCellAnchor>
  <xdr:twoCellAnchor>
    <xdr:from>
      <xdr:col>26</xdr:col>
      <xdr:colOff>533400</xdr:colOff>
      <xdr:row>34</xdr:row>
      <xdr:rowOff>152400</xdr:rowOff>
    </xdr:from>
    <xdr:to>
      <xdr:col>36</xdr:col>
      <xdr:colOff>333375</xdr:colOff>
      <xdr:row>51</xdr:row>
      <xdr:rowOff>104775</xdr:rowOff>
    </xdr:to>
    <xdr:graphicFrame>
      <xdr:nvGraphicFramePr>
        <xdr:cNvPr id="5" name="Chart 5"/>
        <xdr:cNvGraphicFramePr/>
      </xdr:nvGraphicFramePr>
      <xdr:xfrm>
        <a:off x="17383125" y="6315075"/>
        <a:ext cx="5705475" cy="2705100"/>
      </xdr:xfrm>
      <a:graphic>
        <a:graphicData uri="http://schemas.openxmlformats.org/drawingml/2006/chart">
          <c:chart xmlns:c="http://schemas.openxmlformats.org/drawingml/2006/chart" r:id="rId5"/>
        </a:graphicData>
      </a:graphic>
    </xdr:graphicFrame>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0.50875</cdr:x>
      <cdr:y>0.50175</cdr:y>
    </cdr:from>
    <cdr:to>
      <cdr:x>0.521</cdr:x>
      <cdr:y>0.57125</cdr:y>
    </cdr:to>
    <cdr:sp>
      <cdr:nvSpPr>
        <cdr:cNvPr id="1" name="TextBox 1"/>
        <cdr:cNvSpPr txBox="1">
          <a:spLocks noChangeArrowheads="1"/>
        </cdr:cNvSpPr>
      </cdr:nvSpPr>
      <cdr:spPr>
        <a:xfrm>
          <a:off x="2895600" y="1352550"/>
          <a:ext cx="66675" cy="190500"/>
        </a:xfrm>
        <a:prstGeom prst="rect">
          <a:avLst/>
        </a:prstGeom>
        <a:noFill/>
        <a:ln w="1" cmpd="sng">
          <a:noFill/>
        </a:ln>
      </cdr:spPr>
      <cdr:txBody>
        <a:bodyPr vertOverflow="clip" wrap="square" anchor="ctr"/>
        <a:p>
          <a:pPr algn="ctr">
            <a:defRPr/>
          </a:pPr>
          <a:r>
            <a:rPr lang="en-US" cap="none" sz="975" b="0" i="0" u="none" baseline="0">
              <a:latin typeface="Arial"/>
              <a:ea typeface="Arial"/>
              <a:cs typeface="Arial"/>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104775</xdr:colOff>
      <xdr:row>30</xdr:row>
      <xdr:rowOff>133350</xdr:rowOff>
    </xdr:from>
    <xdr:to>
      <xdr:col>28</xdr:col>
      <xdr:colOff>495300</xdr:colOff>
      <xdr:row>49</xdr:row>
      <xdr:rowOff>28575</xdr:rowOff>
    </xdr:to>
    <xdr:graphicFrame>
      <xdr:nvGraphicFramePr>
        <xdr:cNvPr id="1" name="Chart 2"/>
        <xdr:cNvGraphicFramePr/>
      </xdr:nvGraphicFramePr>
      <xdr:xfrm>
        <a:off x="19364325" y="6905625"/>
        <a:ext cx="5705475" cy="2971800"/>
      </xdr:xfrm>
      <a:graphic>
        <a:graphicData uri="http://schemas.openxmlformats.org/drawingml/2006/chart">
          <c:chart xmlns:c="http://schemas.openxmlformats.org/drawingml/2006/chart" r:id="rId1"/>
        </a:graphicData>
      </a:graphic>
    </xdr:graphicFrame>
    <xdr:clientData/>
  </xdr:twoCellAnchor>
  <xdr:twoCellAnchor>
    <xdr:from>
      <xdr:col>29</xdr:col>
      <xdr:colOff>66675</xdr:colOff>
      <xdr:row>30</xdr:row>
      <xdr:rowOff>0</xdr:rowOff>
    </xdr:from>
    <xdr:to>
      <xdr:col>38</xdr:col>
      <xdr:colOff>457200</xdr:colOff>
      <xdr:row>48</xdr:row>
      <xdr:rowOff>57150</xdr:rowOff>
    </xdr:to>
    <xdr:graphicFrame>
      <xdr:nvGraphicFramePr>
        <xdr:cNvPr id="2" name="Chart 3"/>
        <xdr:cNvGraphicFramePr/>
      </xdr:nvGraphicFramePr>
      <xdr:xfrm>
        <a:off x="25231725" y="6772275"/>
        <a:ext cx="5705475" cy="2971800"/>
      </xdr:xfrm>
      <a:graphic>
        <a:graphicData uri="http://schemas.openxmlformats.org/drawingml/2006/chart">
          <c:chart xmlns:c="http://schemas.openxmlformats.org/drawingml/2006/chart" r:id="rId2"/>
        </a:graphicData>
      </a:graphic>
    </xdr:graphicFrame>
    <xdr:clientData/>
  </xdr:twoCellAnchor>
  <xdr:twoCellAnchor>
    <xdr:from>
      <xdr:col>23</xdr:col>
      <xdr:colOff>114300</xdr:colOff>
      <xdr:row>49</xdr:row>
      <xdr:rowOff>9525</xdr:rowOff>
    </xdr:from>
    <xdr:to>
      <xdr:col>32</xdr:col>
      <xdr:colOff>504825</xdr:colOff>
      <xdr:row>67</xdr:row>
      <xdr:rowOff>66675</xdr:rowOff>
    </xdr:to>
    <xdr:graphicFrame>
      <xdr:nvGraphicFramePr>
        <xdr:cNvPr id="3" name="Chart 4"/>
        <xdr:cNvGraphicFramePr/>
      </xdr:nvGraphicFramePr>
      <xdr:xfrm>
        <a:off x="21736050" y="9858375"/>
        <a:ext cx="5705475" cy="2971800"/>
      </xdr:xfrm>
      <a:graphic>
        <a:graphicData uri="http://schemas.openxmlformats.org/drawingml/2006/chart">
          <c:chart xmlns:c="http://schemas.openxmlformats.org/drawingml/2006/chart" r:id="rId3"/>
        </a:graphicData>
      </a:graphic>
    </xdr:graphicFrame>
    <xdr:clientData/>
  </xdr:twoCellAnchor>
  <xdr:twoCellAnchor>
    <xdr:from>
      <xdr:col>32</xdr:col>
      <xdr:colOff>276225</xdr:colOff>
      <xdr:row>11</xdr:row>
      <xdr:rowOff>28575</xdr:rowOff>
    </xdr:from>
    <xdr:to>
      <xdr:col>42</xdr:col>
      <xdr:colOff>76200</xdr:colOff>
      <xdr:row>29</xdr:row>
      <xdr:rowOff>85725</xdr:rowOff>
    </xdr:to>
    <xdr:graphicFrame>
      <xdr:nvGraphicFramePr>
        <xdr:cNvPr id="4" name="Chart 5"/>
        <xdr:cNvGraphicFramePr/>
      </xdr:nvGraphicFramePr>
      <xdr:xfrm>
        <a:off x="27212925" y="3714750"/>
        <a:ext cx="5705475" cy="2981325"/>
      </xdr:xfrm>
      <a:graphic>
        <a:graphicData uri="http://schemas.openxmlformats.org/drawingml/2006/chart">
          <c:chart xmlns:c="http://schemas.openxmlformats.org/drawingml/2006/chart" r:id="rId4"/>
        </a:graphicData>
      </a:graphic>
    </xdr:graphicFrame>
    <xdr:clientData/>
  </xdr:twoCellAnchor>
  <xdr:twoCellAnchor>
    <xdr:from>
      <xdr:col>42</xdr:col>
      <xdr:colOff>276225</xdr:colOff>
      <xdr:row>11</xdr:row>
      <xdr:rowOff>38100</xdr:rowOff>
    </xdr:from>
    <xdr:to>
      <xdr:col>52</xdr:col>
      <xdr:colOff>76200</xdr:colOff>
      <xdr:row>29</xdr:row>
      <xdr:rowOff>85725</xdr:rowOff>
    </xdr:to>
    <xdr:graphicFrame>
      <xdr:nvGraphicFramePr>
        <xdr:cNvPr id="5" name="Chart 6"/>
        <xdr:cNvGraphicFramePr/>
      </xdr:nvGraphicFramePr>
      <xdr:xfrm>
        <a:off x="33118425" y="3724275"/>
        <a:ext cx="5705475" cy="2971800"/>
      </xdr:xfrm>
      <a:graphic>
        <a:graphicData uri="http://schemas.openxmlformats.org/drawingml/2006/chart">
          <c:chart xmlns:c="http://schemas.openxmlformats.org/drawingml/2006/chart" r:id="rId5"/>
        </a:graphicData>
      </a:graphic>
    </xdr:graphicFrame>
    <xdr:clientData/>
  </xdr:twoCellAnchor>
  <xdr:twoCellAnchor>
    <xdr:from>
      <xdr:col>50</xdr:col>
      <xdr:colOff>133350</xdr:colOff>
      <xdr:row>11</xdr:row>
      <xdr:rowOff>0</xdr:rowOff>
    </xdr:from>
    <xdr:to>
      <xdr:col>58</xdr:col>
      <xdr:colOff>342900</xdr:colOff>
      <xdr:row>26</xdr:row>
      <xdr:rowOff>104775</xdr:rowOff>
    </xdr:to>
    <xdr:graphicFrame>
      <xdr:nvGraphicFramePr>
        <xdr:cNvPr id="6" name="Chart 7"/>
        <xdr:cNvGraphicFramePr/>
      </xdr:nvGraphicFramePr>
      <xdr:xfrm>
        <a:off x="37699950" y="3686175"/>
        <a:ext cx="4933950" cy="2543175"/>
      </xdr:xfrm>
      <a:graphic>
        <a:graphicData uri="http://schemas.openxmlformats.org/drawingml/2006/chart">
          <c:chart xmlns:c="http://schemas.openxmlformats.org/drawingml/2006/chart" r:id="rId6"/>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15</xdr:row>
      <xdr:rowOff>0</xdr:rowOff>
    </xdr:from>
    <xdr:to>
      <xdr:col>12</xdr:col>
      <xdr:colOff>266700</xdr:colOff>
      <xdr:row>28</xdr:row>
      <xdr:rowOff>57150</xdr:rowOff>
    </xdr:to>
    <xdr:pic>
      <xdr:nvPicPr>
        <xdr:cNvPr id="1" name="Picture 1"/>
        <xdr:cNvPicPr preferRelativeResize="1">
          <a:picLocks noChangeAspect="1"/>
        </xdr:cNvPicPr>
      </xdr:nvPicPr>
      <xdr:blipFill>
        <a:blip r:embed="rId1"/>
        <a:stretch>
          <a:fillRect/>
        </a:stretch>
      </xdr:blipFill>
      <xdr:spPr>
        <a:xfrm>
          <a:off x="1181100" y="3076575"/>
          <a:ext cx="7515225" cy="2162175"/>
        </a:xfrm>
        <a:prstGeom prst="rect">
          <a:avLst/>
        </a:prstGeom>
        <a:noFill/>
        <a:ln w="1" cmpd="sng">
          <a:noFill/>
        </a:ln>
      </xdr:spPr>
    </xdr:pic>
    <xdr:clientData/>
  </xdr:twoCellAnchor>
  <xdr:twoCellAnchor editAs="oneCell">
    <xdr:from>
      <xdr:col>2</xdr:col>
      <xdr:colOff>0</xdr:colOff>
      <xdr:row>11</xdr:row>
      <xdr:rowOff>0</xdr:rowOff>
    </xdr:from>
    <xdr:to>
      <xdr:col>12</xdr:col>
      <xdr:colOff>428625</xdr:colOff>
      <xdr:row>13</xdr:row>
      <xdr:rowOff>28575</xdr:rowOff>
    </xdr:to>
    <xdr:pic>
      <xdr:nvPicPr>
        <xdr:cNvPr id="2" name="Picture 2"/>
        <xdr:cNvPicPr preferRelativeResize="1">
          <a:picLocks noChangeAspect="1"/>
        </xdr:cNvPicPr>
      </xdr:nvPicPr>
      <xdr:blipFill>
        <a:blip r:embed="rId2"/>
        <a:stretch>
          <a:fillRect/>
        </a:stretch>
      </xdr:blipFill>
      <xdr:spPr>
        <a:xfrm>
          <a:off x="1181100" y="2428875"/>
          <a:ext cx="7677150" cy="352425"/>
        </a:xfrm>
        <a:prstGeom prst="rect">
          <a:avLst/>
        </a:prstGeom>
        <a:noFill/>
        <a:ln w="1" cmpd="sng">
          <a:noFill/>
        </a:ln>
      </xdr:spPr>
    </xdr:pic>
    <xdr:clientData/>
  </xdr:twoCellAnchor>
  <xdr:twoCellAnchor>
    <xdr:from>
      <xdr:col>27</xdr:col>
      <xdr:colOff>76200</xdr:colOff>
      <xdr:row>46</xdr:row>
      <xdr:rowOff>57150</xdr:rowOff>
    </xdr:from>
    <xdr:to>
      <xdr:col>36</xdr:col>
      <xdr:colOff>466725</xdr:colOff>
      <xdr:row>63</xdr:row>
      <xdr:rowOff>9525</xdr:rowOff>
    </xdr:to>
    <xdr:graphicFrame>
      <xdr:nvGraphicFramePr>
        <xdr:cNvPr id="3" name="Chart 7"/>
        <xdr:cNvGraphicFramePr/>
      </xdr:nvGraphicFramePr>
      <xdr:xfrm>
        <a:off x="17887950" y="8153400"/>
        <a:ext cx="5705475" cy="2790825"/>
      </xdr:xfrm>
      <a:graphic>
        <a:graphicData uri="http://schemas.openxmlformats.org/drawingml/2006/chart">
          <c:chart xmlns:c="http://schemas.openxmlformats.org/drawingml/2006/chart" r:id="rId3"/>
        </a:graphicData>
      </a:graphic>
    </xdr:graphicFrame>
    <xdr:clientData/>
  </xdr:twoCellAnchor>
  <xdr:twoCellAnchor>
    <xdr:from>
      <xdr:col>26</xdr:col>
      <xdr:colOff>581025</xdr:colOff>
      <xdr:row>66</xdr:row>
      <xdr:rowOff>104775</xdr:rowOff>
    </xdr:from>
    <xdr:to>
      <xdr:col>36</xdr:col>
      <xdr:colOff>381000</xdr:colOff>
      <xdr:row>83</xdr:row>
      <xdr:rowOff>66675</xdr:rowOff>
    </xdr:to>
    <xdr:graphicFrame>
      <xdr:nvGraphicFramePr>
        <xdr:cNvPr id="4" name="Chart 8"/>
        <xdr:cNvGraphicFramePr/>
      </xdr:nvGraphicFramePr>
      <xdr:xfrm>
        <a:off x="17802225" y="11544300"/>
        <a:ext cx="5705475" cy="2733675"/>
      </xdr:xfrm>
      <a:graphic>
        <a:graphicData uri="http://schemas.openxmlformats.org/drawingml/2006/chart">
          <c:chart xmlns:c="http://schemas.openxmlformats.org/drawingml/2006/chart" r:id="rId4"/>
        </a:graphicData>
      </a:graphic>
    </xdr:graphicFrame>
    <xdr:clientData/>
  </xdr:twoCellAnchor>
  <xdr:twoCellAnchor>
    <xdr:from>
      <xdr:col>26</xdr:col>
      <xdr:colOff>400050</xdr:colOff>
      <xdr:row>84</xdr:row>
      <xdr:rowOff>133350</xdr:rowOff>
    </xdr:from>
    <xdr:to>
      <xdr:col>36</xdr:col>
      <xdr:colOff>542925</xdr:colOff>
      <xdr:row>102</xdr:row>
      <xdr:rowOff>28575</xdr:rowOff>
    </xdr:to>
    <xdr:graphicFrame>
      <xdr:nvGraphicFramePr>
        <xdr:cNvPr id="5" name="Chart 10"/>
        <xdr:cNvGraphicFramePr/>
      </xdr:nvGraphicFramePr>
      <xdr:xfrm>
        <a:off x="17621250" y="14506575"/>
        <a:ext cx="6048375" cy="2809875"/>
      </xdr:xfrm>
      <a:graphic>
        <a:graphicData uri="http://schemas.openxmlformats.org/drawingml/2006/chart">
          <c:chart xmlns:c="http://schemas.openxmlformats.org/drawingml/2006/chart" r:id="rId5"/>
        </a:graphicData>
      </a:graphic>
    </xdr:graphicFrame>
    <xdr:clientData/>
  </xdr:twoCellAnchor>
  <xdr:twoCellAnchor>
    <xdr:from>
      <xdr:col>26</xdr:col>
      <xdr:colOff>552450</xdr:colOff>
      <xdr:row>102</xdr:row>
      <xdr:rowOff>133350</xdr:rowOff>
    </xdr:from>
    <xdr:to>
      <xdr:col>36</xdr:col>
      <xdr:colOff>533400</xdr:colOff>
      <xdr:row>122</xdr:row>
      <xdr:rowOff>152400</xdr:rowOff>
    </xdr:to>
    <xdr:graphicFrame>
      <xdr:nvGraphicFramePr>
        <xdr:cNvPr id="6" name="Chart 11"/>
        <xdr:cNvGraphicFramePr/>
      </xdr:nvGraphicFramePr>
      <xdr:xfrm>
        <a:off x="17773650" y="17421225"/>
        <a:ext cx="5886450" cy="3257550"/>
      </xdr:xfrm>
      <a:graphic>
        <a:graphicData uri="http://schemas.openxmlformats.org/drawingml/2006/chart">
          <c:chart xmlns:c="http://schemas.openxmlformats.org/drawingml/2006/chart" r:id="rId6"/>
        </a:graphicData>
      </a:graphic>
    </xdr:graphicFrame>
    <xdr:clientData/>
  </xdr:twoCellAnchor>
  <xdr:twoCellAnchor>
    <xdr:from>
      <xdr:col>26</xdr:col>
      <xdr:colOff>552450</xdr:colOff>
      <xdr:row>124</xdr:row>
      <xdr:rowOff>0</xdr:rowOff>
    </xdr:from>
    <xdr:to>
      <xdr:col>37</xdr:col>
      <xdr:colOff>133350</xdr:colOff>
      <xdr:row>142</xdr:row>
      <xdr:rowOff>85725</xdr:rowOff>
    </xdr:to>
    <xdr:graphicFrame>
      <xdr:nvGraphicFramePr>
        <xdr:cNvPr id="7" name="Chart 12"/>
        <xdr:cNvGraphicFramePr/>
      </xdr:nvGraphicFramePr>
      <xdr:xfrm>
        <a:off x="17773650" y="20850225"/>
        <a:ext cx="6076950" cy="3000375"/>
      </xdr:xfrm>
      <a:graphic>
        <a:graphicData uri="http://schemas.openxmlformats.org/drawingml/2006/chart">
          <c:chart xmlns:c="http://schemas.openxmlformats.org/drawingml/2006/chart" r:id="rId7"/>
        </a:graphicData>
      </a:graphic>
    </xdr:graphicFrame>
    <xdr:clientData/>
  </xdr:twoCellAnchor>
  <xdr:twoCellAnchor>
    <xdr:from>
      <xdr:col>37</xdr:col>
      <xdr:colOff>514350</xdr:colOff>
      <xdr:row>69</xdr:row>
      <xdr:rowOff>104775</xdr:rowOff>
    </xdr:from>
    <xdr:to>
      <xdr:col>47</xdr:col>
      <xdr:colOff>38100</xdr:colOff>
      <xdr:row>90</xdr:row>
      <xdr:rowOff>152400</xdr:rowOff>
    </xdr:to>
    <xdr:graphicFrame>
      <xdr:nvGraphicFramePr>
        <xdr:cNvPr id="8" name="Chart 13"/>
        <xdr:cNvGraphicFramePr/>
      </xdr:nvGraphicFramePr>
      <xdr:xfrm>
        <a:off x="24231600" y="12030075"/>
        <a:ext cx="5991225" cy="3467100"/>
      </xdr:xfrm>
      <a:graphic>
        <a:graphicData uri="http://schemas.openxmlformats.org/drawingml/2006/chart">
          <c:chart xmlns:c="http://schemas.openxmlformats.org/drawingml/2006/chart" r:id="rId8"/>
        </a:graphicData>
      </a:graphic>
    </xdr:graphicFrame>
    <xdr:clientData/>
  </xdr:twoCellAnchor>
  <xdr:twoCellAnchor>
    <xdr:from>
      <xdr:col>37</xdr:col>
      <xdr:colOff>542925</xdr:colOff>
      <xdr:row>94</xdr:row>
      <xdr:rowOff>85725</xdr:rowOff>
    </xdr:from>
    <xdr:to>
      <xdr:col>47</xdr:col>
      <xdr:colOff>323850</xdr:colOff>
      <xdr:row>112</xdr:row>
      <xdr:rowOff>152400</xdr:rowOff>
    </xdr:to>
    <xdr:graphicFrame>
      <xdr:nvGraphicFramePr>
        <xdr:cNvPr id="9" name="Chart 14"/>
        <xdr:cNvGraphicFramePr/>
      </xdr:nvGraphicFramePr>
      <xdr:xfrm>
        <a:off x="24260175" y="16078200"/>
        <a:ext cx="6248400" cy="2981325"/>
      </xdr:xfrm>
      <a:graphic>
        <a:graphicData uri="http://schemas.openxmlformats.org/drawingml/2006/chart">
          <c:chart xmlns:c="http://schemas.openxmlformats.org/drawingml/2006/chart" r:id="rId9"/>
        </a:graphicData>
      </a:graphic>
    </xdr:graphicFrame>
    <xdr:clientData/>
  </xdr:twoCellAnchor>
  <xdr:twoCellAnchor>
    <xdr:from>
      <xdr:col>37</xdr:col>
      <xdr:colOff>571500</xdr:colOff>
      <xdr:row>113</xdr:row>
      <xdr:rowOff>123825</xdr:rowOff>
    </xdr:from>
    <xdr:to>
      <xdr:col>47</xdr:col>
      <xdr:colOff>409575</xdr:colOff>
      <xdr:row>133</xdr:row>
      <xdr:rowOff>0</xdr:rowOff>
    </xdr:to>
    <xdr:graphicFrame>
      <xdr:nvGraphicFramePr>
        <xdr:cNvPr id="10" name="Chart 15"/>
        <xdr:cNvGraphicFramePr/>
      </xdr:nvGraphicFramePr>
      <xdr:xfrm>
        <a:off x="24288750" y="19192875"/>
        <a:ext cx="6305550" cy="3114675"/>
      </xdr:xfrm>
      <a:graphic>
        <a:graphicData uri="http://schemas.openxmlformats.org/drawingml/2006/chart">
          <c:chart xmlns:c="http://schemas.openxmlformats.org/drawingml/2006/chart" r:id="rId10"/>
        </a:graphicData>
      </a:graphic>
    </xdr:graphicFrame>
    <xdr:clientData/>
  </xdr:twoCellAnchor>
  <xdr:twoCellAnchor>
    <xdr:from>
      <xdr:col>17</xdr:col>
      <xdr:colOff>76200</xdr:colOff>
      <xdr:row>124</xdr:row>
      <xdr:rowOff>0</xdr:rowOff>
    </xdr:from>
    <xdr:to>
      <xdr:col>26</xdr:col>
      <xdr:colOff>466725</xdr:colOff>
      <xdr:row>140</xdr:row>
      <xdr:rowOff>123825</xdr:rowOff>
    </xdr:to>
    <xdr:graphicFrame>
      <xdr:nvGraphicFramePr>
        <xdr:cNvPr id="11" name="Chart 16"/>
        <xdr:cNvGraphicFramePr/>
      </xdr:nvGraphicFramePr>
      <xdr:xfrm>
        <a:off x="11982450" y="20850225"/>
        <a:ext cx="5705475" cy="2714625"/>
      </xdr:xfrm>
      <a:graphic>
        <a:graphicData uri="http://schemas.openxmlformats.org/drawingml/2006/chart">
          <c:chart xmlns:c="http://schemas.openxmlformats.org/drawingml/2006/chart" r:id="rId11"/>
        </a:graphicData>
      </a:graphic>
    </xdr:graphicFrame>
    <xdr:clientData/>
  </xdr:twoCellAnchor>
  <xdr:twoCellAnchor>
    <xdr:from>
      <xdr:col>43</xdr:col>
      <xdr:colOff>419100</xdr:colOff>
      <xdr:row>28</xdr:row>
      <xdr:rowOff>85725</xdr:rowOff>
    </xdr:from>
    <xdr:to>
      <xdr:col>53</xdr:col>
      <xdr:colOff>219075</xdr:colOff>
      <xdr:row>45</xdr:row>
      <xdr:rowOff>57150</xdr:rowOff>
    </xdr:to>
    <xdr:graphicFrame>
      <xdr:nvGraphicFramePr>
        <xdr:cNvPr id="12" name="Chart 17"/>
        <xdr:cNvGraphicFramePr/>
      </xdr:nvGraphicFramePr>
      <xdr:xfrm>
        <a:off x="28241625" y="5267325"/>
        <a:ext cx="5705475" cy="2724150"/>
      </xdr:xfrm>
      <a:graphic>
        <a:graphicData uri="http://schemas.openxmlformats.org/drawingml/2006/chart">
          <c:chart xmlns:c="http://schemas.openxmlformats.org/drawingml/2006/chart" r:id="rId12"/>
        </a:graphicData>
      </a:graphic>
    </xdr:graphicFrame>
    <xdr:clientData/>
  </xdr:twoCellAnchor>
  <xdr:twoCellAnchor>
    <xdr:from>
      <xdr:col>18</xdr:col>
      <xdr:colOff>333375</xdr:colOff>
      <xdr:row>54</xdr:row>
      <xdr:rowOff>152400</xdr:rowOff>
    </xdr:from>
    <xdr:to>
      <xdr:col>25</xdr:col>
      <xdr:colOff>152400</xdr:colOff>
      <xdr:row>111</xdr:row>
      <xdr:rowOff>152400</xdr:rowOff>
    </xdr:to>
    <xdr:graphicFrame>
      <xdr:nvGraphicFramePr>
        <xdr:cNvPr id="13" name="Chart 18"/>
        <xdr:cNvGraphicFramePr/>
      </xdr:nvGraphicFramePr>
      <xdr:xfrm>
        <a:off x="12830175" y="9572625"/>
        <a:ext cx="3952875" cy="9324975"/>
      </xdr:xfrm>
      <a:graphic>
        <a:graphicData uri="http://schemas.openxmlformats.org/drawingml/2006/chart">
          <c:chart xmlns:c="http://schemas.openxmlformats.org/drawingml/2006/chart" r:id="rId13"/>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72</xdr:row>
      <xdr:rowOff>152400</xdr:rowOff>
    </xdr:from>
    <xdr:to>
      <xdr:col>9</xdr:col>
      <xdr:colOff>533400</xdr:colOff>
      <xdr:row>89</xdr:row>
      <xdr:rowOff>104775</xdr:rowOff>
    </xdr:to>
    <xdr:graphicFrame>
      <xdr:nvGraphicFramePr>
        <xdr:cNvPr id="1" name="Chart 3"/>
        <xdr:cNvGraphicFramePr/>
      </xdr:nvGraphicFramePr>
      <xdr:xfrm>
        <a:off x="647700" y="13096875"/>
        <a:ext cx="6724650" cy="2705100"/>
      </xdr:xfrm>
      <a:graphic>
        <a:graphicData uri="http://schemas.openxmlformats.org/drawingml/2006/chart">
          <c:chart xmlns:c="http://schemas.openxmlformats.org/drawingml/2006/chart" r:id="rId1"/>
        </a:graphicData>
      </a:graphic>
    </xdr:graphicFrame>
    <xdr:clientData/>
  </xdr:twoCellAnchor>
  <xdr:twoCellAnchor>
    <xdr:from>
      <xdr:col>0</xdr:col>
      <xdr:colOff>552450</xdr:colOff>
      <xdr:row>92</xdr:row>
      <xdr:rowOff>9525</xdr:rowOff>
    </xdr:from>
    <xdr:to>
      <xdr:col>9</xdr:col>
      <xdr:colOff>438150</xdr:colOff>
      <xdr:row>108</xdr:row>
      <xdr:rowOff>133350</xdr:rowOff>
    </xdr:to>
    <xdr:graphicFrame>
      <xdr:nvGraphicFramePr>
        <xdr:cNvPr id="2" name="Chart 4"/>
        <xdr:cNvGraphicFramePr/>
      </xdr:nvGraphicFramePr>
      <xdr:xfrm>
        <a:off x="552450" y="16192500"/>
        <a:ext cx="6724650" cy="2714625"/>
      </xdr:xfrm>
      <a:graphic>
        <a:graphicData uri="http://schemas.openxmlformats.org/drawingml/2006/chart">
          <c:chart xmlns:c="http://schemas.openxmlformats.org/drawingml/2006/chart" r:id="rId2"/>
        </a:graphicData>
      </a:graphic>
    </xdr:graphicFrame>
    <xdr:clientData/>
  </xdr:twoCellAnchor>
  <xdr:twoCellAnchor>
    <xdr:from>
      <xdr:col>9</xdr:col>
      <xdr:colOff>1228725</xdr:colOff>
      <xdr:row>72</xdr:row>
      <xdr:rowOff>95250</xdr:rowOff>
    </xdr:from>
    <xdr:to>
      <xdr:col>19</xdr:col>
      <xdr:colOff>581025</xdr:colOff>
      <xdr:row>89</xdr:row>
      <xdr:rowOff>57150</xdr:rowOff>
    </xdr:to>
    <xdr:graphicFrame>
      <xdr:nvGraphicFramePr>
        <xdr:cNvPr id="3" name="Chart 5"/>
        <xdr:cNvGraphicFramePr/>
      </xdr:nvGraphicFramePr>
      <xdr:xfrm>
        <a:off x="8067675" y="13039725"/>
        <a:ext cx="8372475" cy="2714625"/>
      </xdr:xfrm>
      <a:graphic>
        <a:graphicData uri="http://schemas.openxmlformats.org/drawingml/2006/chart">
          <c:chart xmlns:c="http://schemas.openxmlformats.org/drawingml/2006/chart" r:id="rId3"/>
        </a:graphicData>
      </a:graphic>
    </xdr:graphicFrame>
    <xdr:clientData/>
  </xdr:twoCellAnchor>
  <xdr:twoCellAnchor>
    <xdr:from>
      <xdr:col>9</xdr:col>
      <xdr:colOff>971550</xdr:colOff>
      <xdr:row>92</xdr:row>
      <xdr:rowOff>133350</xdr:rowOff>
    </xdr:from>
    <xdr:to>
      <xdr:col>19</xdr:col>
      <xdr:colOff>76200</xdr:colOff>
      <xdr:row>106</xdr:row>
      <xdr:rowOff>152400</xdr:rowOff>
    </xdr:to>
    <xdr:graphicFrame>
      <xdr:nvGraphicFramePr>
        <xdr:cNvPr id="4" name="Chart 6"/>
        <xdr:cNvGraphicFramePr/>
      </xdr:nvGraphicFramePr>
      <xdr:xfrm>
        <a:off x="7810500" y="16316325"/>
        <a:ext cx="8124825" cy="2286000"/>
      </xdr:xfrm>
      <a:graphic>
        <a:graphicData uri="http://schemas.openxmlformats.org/drawingml/2006/chart">
          <c:chart xmlns:c="http://schemas.openxmlformats.org/drawingml/2006/chart" r:id="rId4"/>
        </a:graphicData>
      </a:graphic>
    </xdr:graphicFrame>
    <xdr:clientData/>
  </xdr:twoCellAnchor>
  <xdr:twoCellAnchor>
    <xdr:from>
      <xdr:col>19</xdr:col>
      <xdr:colOff>1200150</xdr:colOff>
      <xdr:row>73</xdr:row>
      <xdr:rowOff>28575</xdr:rowOff>
    </xdr:from>
    <xdr:to>
      <xdr:col>27</xdr:col>
      <xdr:colOff>571500</xdr:colOff>
      <xdr:row>95</xdr:row>
      <xdr:rowOff>57150</xdr:rowOff>
    </xdr:to>
    <xdr:graphicFrame>
      <xdr:nvGraphicFramePr>
        <xdr:cNvPr id="5" name="Chart 7"/>
        <xdr:cNvGraphicFramePr/>
      </xdr:nvGraphicFramePr>
      <xdr:xfrm>
        <a:off x="17059275" y="13134975"/>
        <a:ext cx="4991100" cy="3590925"/>
      </xdr:xfrm>
      <a:graphic>
        <a:graphicData uri="http://schemas.openxmlformats.org/drawingml/2006/chart">
          <c:chart xmlns:c="http://schemas.openxmlformats.org/drawingml/2006/chart" r:id="rId5"/>
        </a:graphicData>
      </a:graphic>
    </xdr:graphicFrame>
    <xdr:clientData/>
  </xdr:twoCellAnchor>
  <xdr:twoCellAnchor>
    <xdr:from>
      <xdr:col>20</xdr:col>
      <xdr:colOff>85725</xdr:colOff>
      <xdr:row>57</xdr:row>
      <xdr:rowOff>104775</xdr:rowOff>
    </xdr:from>
    <xdr:to>
      <xdr:col>27</xdr:col>
      <xdr:colOff>733425</xdr:colOff>
      <xdr:row>71</xdr:row>
      <xdr:rowOff>133350</xdr:rowOff>
    </xdr:to>
    <xdr:graphicFrame>
      <xdr:nvGraphicFramePr>
        <xdr:cNvPr id="6" name="Chart 8"/>
        <xdr:cNvGraphicFramePr/>
      </xdr:nvGraphicFramePr>
      <xdr:xfrm>
        <a:off x="17221200" y="10620375"/>
        <a:ext cx="4991100" cy="2295525"/>
      </xdr:xfrm>
      <a:graphic>
        <a:graphicData uri="http://schemas.openxmlformats.org/drawingml/2006/chart">
          <c:chart xmlns:c="http://schemas.openxmlformats.org/drawingml/2006/chart" r:id="rId6"/>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2952750</xdr:colOff>
      <xdr:row>20</xdr:row>
      <xdr:rowOff>9525</xdr:rowOff>
    </xdr:from>
    <xdr:to>
      <xdr:col>11</xdr:col>
      <xdr:colOff>295275</xdr:colOff>
      <xdr:row>36</xdr:row>
      <xdr:rowOff>152400</xdr:rowOff>
    </xdr:to>
    <xdr:graphicFrame>
      <xdr:nvGraphicFramePr>
        <xdr:cNvPr id="1" name="Chart 1"/>
        <xdr:cNvGraphicFramePr/>
      </xdr:nvGraphicFramePr>
      <xdr:xfrm>
        <a:off x="6038850" y="3895725"/>
        <a:ext cx="5819775" cy="2733675"/>
      </xdr:xfrm>
      <a:graphic>
        <a:graphicData uri="http://schemas.openxmlformats.org/drawingml/2006/chart">
          <c:chart xmlns:c="http://schemas.openxmlformats.org/drawingml/2006/chart" r:id="rId1"/>
        </a:graphicData>
      </a:graphic>
    </xdr:graphicFrame>
    <xdr:clientData/>
  </xdr:twoCellAnchor>
  <xdr:twoCellAnchor>
    <xdr:from>
      <xdr:col>4</xdr:col>
      <xdr:colOff>2581275</xdr:colOff>
      <xdr:row>37</xdr:row>
      <xdr:rowOff>152400</xdr:rowOff>
    </xdr:from>
    <xdr:to>
      <xdr:col>10</xdr:col>
      <xdr:colOff>1028700</xdr:colOff>
      <xdr:row>54</xdr:row>
      <xdr:rowOff>104775</xdr:rowOff>
    </xdr:to>
    <xdr:graphicFrame>
      <xdr:nvGraphicFramePr>
        <xdr:cNvPr id="2" name="Chart 2"/>
        <xdr:cNvGraphicFramePr/>
      </xdr:nvGraphicFramePr>
      <xdr:xfrm>
        <a:off x="5667375" y="6791325"/>
        <a:ext cx="5829300" cy="2705100"/>
      </xdr:xfrm>
      <a:graphic>
        <a:graphicData uri="http://schemas.openxmlformats.org/drawingml/2006/chart">
          <c:chart xmlns:c="http://schemas.openxmlformats.org/drawingml/2006/chart" r:id="rId2"/>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xdr:colOff>
      <xdr:row>9</xdr:row>
      <xdr:rowOff>104775</xdr:rowOff>
    </xdr:from>
    <xdr:to>
      <xdr:col>24</xdr:col>
      <xdr:colOff>371475</xdr:colOff>
      <xdr:row>26</xdr:row>
      <xdr:rowOff>66675</xdr:rowOff>
    </xdr:to>
    <xdr:graphicFrame>
      <xdr:nvGraphicFramePr>
        <xdr:cNvPr id="1" name="Chart 1"/>
        <xdr:cNvGraphicFramePr/>
      </xdr:nvGraphicFramePr>
      <xdr:xfrm>
        <a:off x="13820775" y="2209800"/>
        <a:ext cx="5667375" cy="2714625"/>
      </xdr:xfrm>
      <a:graphic>
        <a:graphicData uri="http://schemas.openxmlformats.org/drawingml/2006/chart">
          <c:chart xmlns:c="http://schemas.openxmlformats.org/drawingml/2006/chart" r:id="rId1"/>
        </a:graphicData>
      </a:graphic>
    </xdr:graphicFrame>
    <xdr:clientData/>
  </xdr:twoCellAnchor>
  <xdr:twoCellAnchor>
    <xdr:from>
      <xdr:col>14</xdr:col>
      <xdr:colOff>247650</xdr:colOff>
      <xdr:row>28</xdr:row>
      <xdr:rowOff>95250</xdr:rowOff>
    </xdr:from>
    <xdr:to>
      <xdr:col>24</xdr:col>
      <xdr:colOff>0</xdr:colOff>
      <xdr:row>45</xdr:row>
      <xdr:rowOff>57150</xdr:rowOff>
    </xdr:to>
    <xdr:graphicFrame>
      <xdr:nvGraphicFramePr>
        <xdr:cNvPr id="2" name="Chart 2"/>
        <xdr:cNvGraphicFramePr/>
      </xdr:nvGraphicFramePr>
      <xdr:xfrm>
        <a:off x="13458825" y="5276850"/>
        <a:ext cx="5657850" cy="2714625"/>
      </xdr:xfrm>
      <a:graphic>
        <a:graphicData uri="http://schemas.openxmlformats.org/drawingml/2006/chart">
          <c:chart xmlns:c="http://schemas.openxmlformats.org/drawingml/2006/chart" r:id="rId2"/>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3543300</xdr:colOff>
      <xdr:row>24</xdr:row>
      <xdr:rowOff>57150</xdr:rowOff>
    </xdr:from>
    <xdr:to>
      <xdr:col>10</xdr:col>
      <xdr:colOff>333375</xdr:colOff>
      <xdr:row>41</xdr:row>
      <xdr:rowOff>9525</xdr:rowOff>
    </xdr:to>
    <xdr:graphicFrame>
      <xdr:nvGraphicFramePr>
        <xdr:cNvPr id="1" name="Chart 2"/>
        <xdr:cNvGraphicFramePr/>
      </xdr:nvGraphicFramePr>
      <xdr:xfrm>
        <a:off x="5314950" y="4591050"/>
        <a:ext cx="5810250" cy="2705100"/>
      </xdr:xfrm>
      <a:graphic>
        <a:graphicData uri="http://schemas.openxmlformats.org/drawingml/2006/chart">
          <c:chart xmlns:c="http://schemas.openxmlformats.org/drawingml/2006/chart" r:id="rId1"/>
        </a:graphicData>
      </a:graphic>
    </xdr:graphicFrame>
    <xdr:clientData/>
  </xdr:twoCellAnchor>
  <xdr:twoCellAnchor>
    <xdr:from>
      <xdr:col>3</xdr:col>
      <xdr:colOff>3552825</xdr:colOff>
      <xdr:row>42</xdr:row>
      <xdr:rowOff>152400</xdr:rowOff>
    </xdr:from>
    <xdr:to>
      <xdr:col>10</xdr:col>
      <xdr:colOff>342900</xdr:colOff>
      <xdr:row>59</xdr:row>
      <xdr:rowOff>104775</xdr:rowOff>
    </xdr:to>
    <xdr:graphicFrame>
      <xdr:nvGraphicFramePr>
        <xdr:cNvPr id="2" name="Chart 3"/>
        <xdr:cNvGraphicFramePr/>
      </xdr:nvGraphicFramePr>
      <xdr:xfrm>
        <a:off x="5324475" y="7600950"/>
        <a:ext cx="5810250" cy="2705100"/>
      </xdr:xfrm>
      <a:graphic>
        <a:graphicData uri="http://schemas.openxmlformats.org/drawingml/2006/chart">
          <c:chart xmlns:c="http://schemas.openxmlformats.org/drawingml/2006/chart" r:id="rId2"/>
        </a:graphicData>
      </a:graphic>
    </xdr:graphicFrame>
    <xdr:clientData/>
  </xdr:twoCellAnchor>
  <xdr:twoCellAnchor>
    <xdr:from>
      <xdr:col>13</xdr:col>
      <xdr:colOff>333375</xdr:colOff>
      <xdr:row>25</xdr:row>
      <xdr:rowOff>66675</xdr:rowOff>
    </xdr:from>
    <xdr:to>
      <xdr:col>21</xdr:col>
      <xdr:colOff>142875</xdr:colOff>
      <xdr:row>42</xdr:row>
      <xdr:rowOff>28575</xdr:rowOff>
    </xdr:to>
    <xdr:graphicFrame>
      <xdr:nvGraphicFramePr>
        <xdr:cNvPr id="3" name="Chart 4"/>
        <xdr:cNvGraphicFramePr/>
      </xdr:nvGraphicFramePr>
      <xdr:xfrm>
        <a:off x="15563850" y="4762500"/>
        <a:ext cx="5743575" cy="2714625"/>
      </xdr:xfrm>
      <a:graphic>
        <a:graphicData uri="http://schemas.openxmlformats.org/drawingml/2006/chart">
          <c:chart xmlns:c="http://schemas.openxmlformats.org/drawingml/2006/chart" r:id="rId3"/>
        </a:graphicData>
      </a:graphic>
    </xdr:graphicFrame>
    <xdr:clientData/>
  </xdr:twoCellAnchor>
  <xdr:twoCellAnchor>
    <xdr:from>
      <xdr:col>13</xdr:col>
      <xdr:colOff>314325</xdr:colOff>
      <xdr:row>43</xdr:row>
      <xdr:rowOff>9525</xdr:rowOff>
    </xdr:from>
    <xdr:to>
      <xdr:col>21</xdr:col>
      <xdr:colOff>133350</xdr:colOff>
      <xdr:row>59</xdr:row>
      <xdr:rowOff>133350</xdr:rowOff>
    </xdr:to>
    <xdr:graphicFrame>
      <xdr:nvGraphicFramePr>
        <xdr:cNvPr id="4" name="Chart 5"/>
        <xdr:cNvGraphicFramePr/>
      </xdr:nvGraphicFramePr>
      <xdr:xfrm>
        <a:off x="15544800" y="7620000"/>
        <a:ext cx="5753100" cy="2714625"/>
      </xdr:xfrm>
      <a:graphic>
        <a:graphicData uri="http://schemas.openxmlformats.org/drawingml/2006/chart">
          <c:chart xmlns:c="http://schemas.openxmlformats.org/drawingml/2006/chart" r:id="rId4"/>
        </a:graphicData>
      </a:graphic>
    </xdr:graphicFrame>
    <xdr:clientData/>
  </xdr:twoCellAnchor>
  <xdr:twoCellAnchor>
    <xdr:from>
      <xdr:col>13</xdr:col>
      <xdr:colOff>542925</xdr:colOff>
      <xdr:row>79</xdr:row>
      <xdr:rowOff>152400</xdr:rowOff>
    </xdr:from>
    <xdr:to>
      <xdr:col>20</xdr:col>
      <xdr:colOff>180975</xdr:colOff>
      <xdr:row>94</xdr:row>
      <xdr:rowOff>9525</xdr:rowOff>
    </xdr:to>
    <xdr:graphicFrame>
      <xdr:nvGraphicFramePr>
        <xdr:cNvPr id="5" name="Chart 8"/>
        <xdr:cNvGraphicFramePr/>
      </xdr:nvGraphicFramePr>
      <xdr:xfrm>
        <a:off x="15773400" y="13592175"/>
        <a:ext cx="4981575" cy="2286000"/>
      </xdr:xfrm>
      <a:graphic>
        <a:graphicData uri="http://schemas.openxmlformats.org/drawingml/2006/chart">
          <c:chart xmlns:c="http://schemas.openxmlformats.org/drawingml/2006/chart" r:id="rId5"/>
        </a:graphicData>
      </a:graphic>
    </xdr:graphicFrame>
    <xdr:clientData/>
  </xdr:twoCellAnchor>
  <xdr:twoCellAnchor>
    <xdr:from>
      <xdr:col>20</xdr:col>
      <xdr:colOff>342900</xdr:colOff>
      <xdr:row>79</xdr:row>
      <xdr:rowOff>104775</xdr:rowOff>
    </xdr:from>
    <xdr:to>
      <xdr:col>28</xdr:col>
      <xdr:colOff>571500</xdr:colOff>
      <xdr:row>93</xdr:row>
      <xdr:rowOff>133350</xdr:rowOff>
    </xdr:to>
    <xdr:graphicFrame>
      <xdr:nvGraphicFramePr>
        <xdr:cNvPr id="6" name="Chart 9"/>
        <xdr:cNvGraphicFramePr/>
      </xdr:nvGraphicFramePr>
      <xdr:xfrm>
        <a:off x="20916900" y="13544550"/>
        <a:ext cx="4953000" cy="2295525"/>
      </xdr:xfrm>
      <a:graphic>
        <a:graphicData uri="http://schemas.openxmlformats.org/drawingml/2006/chart">
          <c:chart xmlns:c="http://schemas.openxmlformats.org/drawingml/2006/chart" r:id="rId6"/>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304800</xdr:colOff>
      <xdr:row>27</xdr:row>
      <xdr:rowOff>85725</xdr:rowOff>
    </xdr:from>
    <xdr:to>
      <xdr:col>27</xdr:col>
      <xdr:colOff>104775</xdr:colOff>
      <xdr:row>44</xdr:row>
      <xdr:rowOff>57150</xdr:rowOff>
    </xdr:to>
    <xdr:graphicFrame>
      <xdr:nvGraphicFramePr>
        <xdr:cNvPr id="1" name="Chart 1"/>
        <xdr:cNvGraphicFramePr/>
      </xdr:nvGraphicFramePr>
      <xdr:xfrm>
        <a:off x="20393025" y="4800600"/>
        <a:ext cx="6248400" cy="2724150"/>
      </xdr:xfrm>
      <a:graphic>
        <a:graphicData uri="http://schemas.openxmlformats.org/drawingml/2006/chart">
          <c:chart xmlns:c="http://schemas.openxmlformats.org/drawingml/2006/chart" r:id="rId1"/>
        </a:graphicData>
      </a:graphic>
    </xdr:graphicFrame>
    <xdr:clientData/>
  </xdr:twoCellAnchor>
  <xdr:twoCellAnchor>
    <xdr:from>
      <xdr:col>17</xdr:col>
      <xdr:colOff>381000</xdr:colOff>
      <xdr:row>46</xdr:row>
      <xdr:rowOff>133350</xdr:rowOff>
    </xdr:from>
    <xdr:to>
      <xdr:col>27</xdr:col>
      <xdr:colOff>180975</xdr:colOff>
      <xdr:row>63</xdr:row>
      <xdr:rowOff>95250</xdr:rowOff>
    </xdr:to>
    <xdr:graphicFrame>
      <xdr:nvGraphicFramePr>
        <xdr:cNvPr id="2" name="Chart 2"/>
        <xdr:cNvGraphicFramePr/>
      </xdr:nvGraphicFramePr>
      <xdr:xfrm>
        <a:off x="20469225" y="7924800"/>
        <a:ext cx="6248400" cy="2714625"/>
      </xdr:xfrm>
      <a:graphic>
        <a:graphicData uri="http://schemas.openxmlformats.org/drawingml/2006/chart">
          <c:chart xmlns:c="http://schemas.openxmlformats.org/drawingml/2006/chart" r:id="rId2"/>
        </a:graphicData>
      </a:graphic>
    </xdr:graphicFrame>
    <xdr:clientData/>
  </xdr:twoCellAnchor>
  <xdr:twoCellAnchor>
    <xdr:from>
      <xdr:col>28</xdr:col>
      <xdr:colOff>133350</xdr:colOff>
      <xdr:row>28</xdr:row>
      <xdr:rowOff>38100</xdr:rowOff>
    </xdr:from>
    <xdr:to>
      <xdr:col>37</xdr:col>
      <xdr:colOff>523875</xdr:colOff>
      <xdr:row>45</xdr:row>
      <xdr:rowOff>0</xdr:rowOff>
    </xdr:to>
    <xdr:graphicFrame>
      <xdr:nvGraphicFramePr>
        <xdr:cNvPr id="3" name="Chart 3"/>
        <xdr:cNvGraphicFramePr/>
      </xdr:nvGraphicFramePr>
      <xdr:xfrm>
        <a:off x="27260550" y="4914900"/>
        <a:ext cx="5705475" cy="2714625"/>
      </xdr:xfrm>
      <a:graphic>
        <a:graphicData uri="http://schemas.openxmlformats.org/drawingml/2006/chart">
          <c:chart xmlns:c="http://schemas.openxmlformats.org/drawingml/2006/chart" r:id="rId3"/>
        </a:graphicData>
      </a:graphic>
    </xdr:graphicFrame>
    <xdr:clientData/>
  </xdr:twoCellAnchor>
  <xdr:twoCellAnchor>
    <xdr:from>
      <xdr:col>28</xdr:col>
      <xdr:colOff>200025</xdr:colOff>
      <xdr:row>46</xdr:row>
      <xdr:rowOff>9525</xdr:rowOff>
    </xdr:from>
    <xdr:to>
      <xdr:col>38</xdr:col>
      <xdr:colOff>0</xdr:colOff>
      <xdr:row>62</xdr:row>
      <xdr:rowOff>152400</xdr:rowOff>
    </xdr:to>
    <xdr:graphicFrame>
      <xdr:nvGraphicFramePr>
        <xdr:cNvPr id="4" name="Chart 4"/>
        <xdr:cNvGraphicFramePr/>
      </xdr:nvGraphicFramePr>
      <xdr:xfrm>
        <a:off x="27327225" y="7800975"/>
        <a:ext cx="5705475" cy="2733675"/>
      </xdr:xfrm>
      <a:graphic>
        <a:graphicData uri="http://schemas.openxmlformats.org/drawingml/2006/chart">
          <c:chart xmlns:c="http://schemas.openxmlformats.org/drawingml/2006/chart" r:id="rId4"/>
        </a:graphicData>
      </a:graphic>
    </xdr:graphicFrame>
    <xdr:clientData/>
  </xdr:twoCellAnchor>
  <xdr:twoCellAnchor>
    <xdr:from>
      <xdr:col>38</xdr:col>
      <xdr:colOff>190500</xdr:colOff>
      <xdr:row>28</xdr:row>
      <xdr:rowOff>66675</xdr:rowOff>
    </xdr:from>
    <xdr:to>
      <xdr:col>47</xdr:col>
      <xdr:colOff>571500</xdr:colOff>
      <xdr:row>45</xdr:row>
      <xdr:rowOff>28575</xdr:rowOff>
    </xdr:to>
    <xdr:graphicFrame>
      <xdr:nvGraphicFramePr>
        <xdr:cNvPr id="5" name="Chart 5"/>
        <xdr:cNvGraphicFramePr/>
      </xdr:nvGraphicFramePr>
      <xdr:xfrm>
        <a:off x="33223200" y="4943475"/>
        <a:ext cx="5695950" cy="2714625"/>
      </xdr:xfrm>
      <a:graphic>
        <a:graphicData uri="http://schemas.openxmlformats.org/drawingml/2006/chart">
          <c:chart xmlns:c="http://schemas.openxmlformats.org/drawingml/2006/chart" r:id="rId5"/>
        </a:graphicData>
      </a:graphic>
    </xdr:graphicFrame>
    <xdr:clientData/>
  </xdr:twoCellAnchor>
  <xdr:twoCellAnchor>
    <xdr:from>
      <xdr:col>38</xdr:col>
      <xdr:colOff>304800</xdr:colOff>
      <xdr:row>48</xdr:row>
      <xdr:rowOff>9525</xdr:rowOff>
    </xdr:from>
    <xdr:to>
      <xdr:col>48</xdr:col>
      <xdr:colOff>85725</xdr:colOff>
      <xdr:row>64</xdr:row>
      <xdr:rowOff>133350</xdr:rowOff>
    </xdr:to>
    <xdr:graphicFrame>
      <xdr:nvGraphicFramePr>
        <xdr:cNvPr id="6" name="Chart 6"/>
        <xdr:cNvGraphicFramePr/>
      </xdr:nvGraphicFramePr>
      <xdr:xfrm>
        <a:off x="33337500" y="8124825"/>
        <a:ext cx="5686425" cy="2714625"/>
      </xdr:xfrm>
      <a:graphic>
        <a:graphicData uri="http://schemas.openxmlformats.org/drawingml/2006/chart">
          <c:chart xmlns:c="http://schemas.openxmlformats.org/drawingml/2006/chart" r:id="rId6"/>
        </a:graphicData>
      </a:graphic>
    </xdr:graphicFrame>
    <xdr:clientData/>
  </xdr:twoCellAnchor>
  <xdr:twoCellAnchor>
    <xdr:from>
      <xdr:col>48</xdr:col>
      <xdr:colOff>333375</xdr:colOff>
      <xdr:row>28</xdr:row>
      <xdr:rowOff>85725</xdr:rowOff>
    </xdr:from>
    <xdr:to>
      <xdr:col>58</xdr:col>
      <xdr:colOff>133350</xdr:colOff>
      <xdr:row>45</xdr:row>
      <xdr:rowOff>38100</xdr:rowOff>
    </xdr:to>
    <xdr:graphicFrame>
      <xdr:nvGraphicFramePr>
        <xdr:cNvPr id="7" name="Chart 7"/>
        <xdr:cNvGraphicFramePr/>
      </xdr:nvGraphicFramePr>
      <xdr:xfrm>
        <a:off x="39271575" y="4962525"/>
        <a:ext cx="5705475" cy="2705100"/>
      </xdr:xfrm>
      <a:graphic>
        <a:graphicData uri="http://schemas.openxmlformats.org/drawingml/2006/chart">
          <c:chart xmlns:c="http://schemas.openxmlformats.org/drawingml/2006/chart" r:id="rId7"/>
        </a:graphicData>
      </a:graphic>
    </xdr:graphicFrame>
    <xdr:clientData/>
  </xdr:twoCellAnchor>
  <xdr:twoCellAnchor>
    <xdr:from>
      <xdr:col>49</xdr:col>
      <xdr:colOff>314325</xdr:colOff>
      <xdr:row>50</xdr:row>
      <xdr:rowOff>28575</xdr:rowOff>
    </xdr:from>
    <xdr:to>
      <xdr:col>59</xdr:col>
      <xdr:colOff>114300</xdr:colOff>
      <xdr:row>66</xdr:row>
      <xdr:rowOff>152400</xdr:rowOff>
    </xdr:to>
    <xdr:graphicFrame>
      <xdr:nvGraphicFramePr>
        <xdr:cNvPr id="8" name="Chart 8"/>
        <xdr:cNvGraphicFramePr/>
      </xdr:nvGraphicFramePr>
      <xdr:xfrm>
        <a:off x="39843075" y="8467725"/>
        <a:ext cx="5705475" cy="2714625"/>
      </xdr:xfrm>
      <a:graphic>
        <a:graphicData uri="http://schemas.openxmlformats.org/drawingml/2006/chart">
          <c:chart xmlns:c="http://schemas.openxmlformats.org/drawingml/2006/chart" r:id="rId8"/>
        </a:graphicData>
      </a:graphic>
    </xdr:graphicFrame>
    <xdr:clientData/>
  </xdr:twoCellAnchor>
  <xdr:twoCellAnchor>
    <xdr:from>
      <xdr:col>38</xdr:col>
      <xdr:colOff>323850</xdr:colOff>
      <xdr:row>3</xdr:row>
      <xdr:rowOff>9525</xdr:rowOff>
    </xdr:from>
    <xdr:to>
      <xdr:col>48</xdr:col>
      <xdr:colOff>123825</xdr:colOff>
      <xdr:row>21</xdr:row>
      <xdr:rowOff>66675</xdr:rowOff>
    </xdr:to>
    <xdr:graphicFrame>
      <xdr:nvGraphicFramePr>
        <xdr:cNvPr id="9" name="Chart 9"/>
        <xdr:cNvGraphicFramePr/>
      </xdr:nvGraphicFramePr>
      <xdr:xfrm>
        <a:off x="33356550" y="819150"/>
        <a:ext cx="5705475" cy="2990850"/>
      </xdr:xfrm>
      <a:graphic>
        <a:graphicData uri="http://schemas.openxmlformats.org/drawingml/2006/chart">
          <c:chart xmlns:c="http://schemas.openxmlformats.org/drawingml/2006/chart" r:id="rId9"/>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533400</xdr:colOff>
      <xdr:row>19</xdr:row>
      <xdr:rowOff>9525</xdr:rowOff>
    </xdr:from>
    <xdr:to>
      <xdr:col>21</xdr:col>
      <xdr:colOff>571500</xdr:colOff>
      <xdr:row>35</xdr:row>
      <xdr:rowOff>152400</xdr:rowOff>
    </xdr:to>
    <xdr:graphicFrame>
      <xdr:nvGraphicFramePr>
        <xdr:cNvPr id="1" name="Chart 1"/>
        <xdr:cNvGraphicFramePr/>
      </xdr:nvGraphicFramePr>
      <xdr:xfrm>
        <a:off x="10344150" y="3848100"/>
        <a:ext cx="6372225" cy="2733675"/>
      </xdr:xfrm>
      <a:graphic>
        <a:graphicData uri="http://schemas.openxmlformats.org/drawingml/2006/chart">
          <c:chart xmlns:c="http://schemas.openxmlformats.org/drawingml/2006/chart" r:id="rId1"/>
        </a:graphicData>
      </a:graphic>
    </xdr:graphicFrame>
    <xdr:clientData/>
  </xdr:twoCellAnchor>
  <xdr:twoCellAnchor>
    <xdr:from>
      <xdr:col>12</xdr:col>
      <xdr:colOff>419100</xdr:colOff>
      <xdr:row>37</xdr:row>
      <xdr:rowOff>9525</xdr:rowOff>
    </xdr:from>
    <xdr:to>
      <xdr:col>21</xdr:col>
      <xdr:colOff>457200</xdr:colOff>
      <xdr:row>53</xdr:row>
      <xdr:rowOff>152400</xdr:rowOff>
    </xdr:to>
    <xdr:graphicFrame>
      <xdr:nvGraphicFramePr>
        <xdr:cNvPr id="2" name="Chart 2"/>
        <xdr:cNvGraphicFramePr/>
      </xdr:nvGraphicFramePr>
      <xdr:xfrm>
        <a:off x="10229850" y="6762750"/>
        <a:ext cx="6372225" cy="2733675"/>
      </xdr:xfrm>
      <a:graphic>
        <a:graphicData uri="http://schemas.openxmlformats.org/drawingml/2006/chart">
          <c:chart xmlns:c="http://schemas.openxmlformats.org/drawingml/2006/chart" r:id="rId2"/>
        </a:graphicData>
      </a:graphic>
    </xdr:graphicFrame>
    <xdr:clientData/>
  </xdr:twoCellAnchor>
  <xdr:twoCellAnchor>
    <xdr:from>
      <xdr:col>22</xdr:col>
      <xdr:colOff>76200</xdr:colOff>
      <xdr:row>20</xdr:row>
      <xdr:rowOff>133350</xdr:rowOff>
    </xdr:from>
    <xdr:to>
      <xdr:col>31</xdr:col>
      <xdr:colOff>466725</xdr:colOff>
      <xdr:row>37</xdr:row>
      <xdr:rowOff>95250</xdr:rowOff>
    </xdr:to>
    <xdr:graphicFrame>
      <xdr:nvGraphicFramePr>
        <xdr:cNvPr id="3" name="Chart 3"/>
        <xdr:cNvGraphicFramePr/>
      </xdr:nvGraphicFramePr>
      <xdr:xfrm>
        <a:off x="16811625" y="4133850"/>
        <a:ext cx="5705475" cy="2714625"/>
      </xdr:xfrm>
      <a:graphic>
        <a:graphicData uri="http://schemas.openxmlformats.org/drawingml/2006/chart">
          <c:chart xmlns:c="http://schemas.openxmlformats.org/drawingml/2006/chart" r:id="rId3"/>
        </a:graphicData>
      </a:graphic>
    </xdr:graphicFrame>
    <xdr:clientData/>
  </xdr:twoCellAnchor>
  <xdr:twoCellAnchor>
    <xdr:from>
      <xdr:col>22</xdr:col>
      <xdr:colOff>38100</xdr:colOff>
      <xdr:row>39</xdr:row>
      <xdr:rowOff>133350</xdr:rowOff>
    </xdr:from>
    <xdr:to>
      <xdr:col>31</xdr:col>
      <xdr:colOff>419100</xdr:colOff>
      <xdr:row>56</xdr:row>
      <xdr:rowOff>95250</xdr:rowOff>
    </xdr:to>
    <xdr:graphicFrame>
      <xdr:nvGraphicFramePr>
        <xdr:cNvPr id="4" name="Chart 4"/>
        <xdr:cNvGraphicFramePr/>
      </xdr:nvGraphicFramePr>
      <xdr:xfrm>
        <a:off x="16773525" y="7210425"/>
        <a:ext cx="5695950" cy="2714625"/>
      </xdr:xfrm>
      <a:graphic>
        <a:graphicData uri="http://schemas.openxmlformats.org/drawingml/2006/chart">
          <c:chart xmlns:c="http://schemas.openxmlformats.org/drawingml/2006/chart" r:id="rId4"/>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342900</xdr:colOff>
      <xdr:row>19</xdr:row>
      <xdr:rowOff>152400</xdr:rowOff>
    </xdr:from>
    <xdr:to>
      <xdr:col>17</xdr:col>
      <xdr:colOff>142875</xdr:colOff>
      <xdr:row>36</xdr:row>
      <xdr:rowOff>104775</xdr:rowOff>
    </xdr:to>
    <xdr:graphicFrame>
      <xdr:nvGraphicFramePr>
        <xdr:cNvPr id="1" name="Chart 1"/>
        <xdr:cNvGraphicFramePr/>
      </xdr:nvGraphicFramePr>
      <xdr:xfrm>
        <a:off x="6048375" y="3876675"/>
        <a:ext cx="6076950" cy="2705100"/>
      </xdr:xfrm>
      <a:graphic>
        <a:graphicData uri="http://schemas.openxmlformats.org/drawingml/2006/chart">
          <c:chart xmlns:c="http://schemas.openxmlformats.org/drawingml/2006/chart" r:id="rId1"/>
        </a:graphicData>
      </a:graphic>
    </xdr:graphicFrame>
    <xdr:clientData/>
  </xdr:twoCellAnchor>
  <xdr:twoCellAnchor>
    <xdr:from>
      <xdr:col>7</xdr:col>
      <xdr:colOff>400050</xdr:colOff>
      <xdr:row>39</xdr:row>
      <xdr:rowOff>0</xdr:rowOff>
    </xdr:from>
    <xdr:to>
      <xdr:col>17</xdr:col>
      <xdr:colOff>190500</xdr:colOff>
      <xdr:row>55</xdr:row>
      <xdr:rowOff>123825</xdr:rowOff>
    </xdr:to>
    <xdr:graphicFrame>
      <xdr:nvGraphicFramePr>
        <xdr:cNvPr id="2" name="Chart 2"/>
        <xdr:cNvGraphicFramePr/>
      </xdr:nvGraphicFramePr>
      <xdr:xfrm>
        <a:off x="6105525" y="6962775"/>
        <a:ext cx="6067425" cy="2714625"/>
      </xdr:xfrm>
      <a:graphic>
        <a:graphicData uri="http://schemas.openxmlformats.org/drawingml/2006/chart">
          <c:chart xmlns:c="http://schemas.openxmlformats.org/drawingml/2006/chart" r:id="rId2"/>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552450</xdr:colOff>
      <xdr:row>30</xdr:row>
      <xdr:rowOff>133350</xdr:rowOff>
    </xdr:from>
    <xdr:to>
      <xdr:col>21</xdr:col>
      <xdr:colOff>514350</xdr:colOff>
      <xdr:row>47</xdr:row>
      <xdr:rowOff>95250</xdr:rowOff>
    </xdr:to>
    <xdr:graphicFrame>
      <xdr:nvGraphicFramePr>
        <xdr:cNvPr id="1" name="Chart 1"/>
        <xdr:cNvGraphicFramePr/>
      </xdr:nvGraphicFramePr>
      <xdr:xfrm>
        <a:off x="9191625" y="5657850"/>
        <a:ext cx="5734050" cy="2714625"/>
      </xdr:xfrm>
      <a:graphic>
        <a:graphicData uri="http://schemas.openxmlformats.org/drawingml/2006/chart">
          <c:chart xmlns:c="http://schemas.openxmlformats.org/drawingml/2006/chart" r:id="rId1"/>
        </a:graphicData>
      </a:graphic>
    </xdr:graphicFrame>
    <xdr:clientData/>
  </xdr:twoCellAnchor>
  <xdr:twoCellAnchor>
    <xdr:from>
      <xdr:col>12</xdr:col>
      <xdr:colOff>485775</xdr:colOff>
      <xdr:row>48</xdr:row>
      <xdr:rowOff>123825</xdr:rowOff>
    </xdr:from>
    <xdr:to>
      <xdr:col>21</xdr:col>
      <xdr:colOff>457200</xdr:colOff>
      <xdr:row>65</xdr:row>
      <xdr:rowOff>85725</xdr:rowOff>
    </xdr:to>
    <xdr:graphicFrame>
      <xdr:nvGraphicFramePr>
        <xdr:cNvPr id="2" name="Chart 2"/>
        <xdr:cNvGraphicFramePr/>
      </xdr:nvGraphicFramePr>
      <xdr:xfrm>
        <a:off x="9124950" y="8562975"/>
        <a:ext cx="5743575" cy="2714625"/>
      </xdr:xfrm>
      <a:graphic>
        <a:graphicData uri="http://schemas.openxmlformats.org/drawingml/2006/chart">
          <c:chart xmlns:c="http://schemas.openxmlformats.org/drawingml/2006/chart" r:id="rId2"/>
        </a:graphicData>
      </a:graphic>
    </xdr:graphicFrame>
    <xdr:clientData/>
  </xdr:twoCellAnchor>
  <xdr:twoCellAnchor>
    <xdr:from>
      <xdr:col>22</xdr:col>
      <xdr:colOff>76200</xdr:colOff>
      <xdr:row>31</xdr:row>
      <xdr:rowOff>0</xdr:rowOff>
    </xdr:from>
    <xdr:to>
      <xdr:col>31</xdr:col>
      <xdr:colOff>457200</xdr:colOff>
      <xdr:row>47</xdr:row>
      <xdr:rowOff>123825</xdr:rowOff>
    </xdr:to>
    <xdr:graphicFrame>
      <xdr:nvGraphicFramePr>
        <xdr:cNvPr id="3" name="Chart 3"/>
        <xdr:cNvGraphicFramePr/>
      </xdr:nvGraphicFramePr>
      <xdr:xfrm>
        <a:off x="15078075" y="5686425"/>
        <a:ext cx="5695950" cy="2714625"/>
      </xdr:xfrm>
      <a:graphic>
        <a:graphicData uri="http://schemas.openxmlformats.org/drawingml/2006/chart">
          <c:chart xmlns:c="http://schemas.openxmlformats.org/drawingml/2006/chart" r:id="rId3"/>
        </a:graphicData>
      </a:graphic>
    </xdr:graphicFrame>
    <xdr:clientData/>
  </xdr:twoCellAnchor>
  <xdr:twoCellAnchor>
    <xdr:from>
      <xdr:col>22</xdr:col>
      <xdr:colOff>19050</xdr:colOff>
      <xdr:row>49</xdr:row>
      <xdr:rowOff>133350</xdr:rowOff>
    </xdr:from>
    <xdr:to>
      <xdr:col>30</xdr:col>
      <xdr:colOff>238125</xdr:colOff>
      <xdr:row>64</xdr:row>
      <xdr:rowOff>0</xdr:rowOff>
    </xdr:to>
    <xdr:graphicFrame>
      <xdr:nvGraphicFramePr>
        <xdr:cNvPr id="4" name="Chart 4"/>
        <xdr:cNvGraphicFramePr/>
      </xdr:nvGraphicFramePr>
      <xdr:xfrm>
        <a:off x="15020925" y="8734425"/>
        <a:ext cx="4943475" cy="2295525"/>
      </xdr:xfrm>
      <a:graphic>
        <a:graphicData uri="http://schemas.openxmlformats.org/drawingml/2006/chart">
          <c:chart xmlns:c="http://schemas.openxmlformats.org/drawingml/2006/chart" r:id="rId4"/>
        </a:graphicData>
      </a:graphic>
    </xdr:graphicFrame>
    <xdr:clientData/>
  </xdr:twoCellAnchor>
  <xdr:twoCellAnchor>
    <xdr:from>
      <xdr:col>32</xdr:col>
      <xdr:colOff>238125</xdr:colOff>
      <xdr:row>31</xdr:row>
      <xdr:rowOff>104775</xdr:rowOff>
    </xdr:from>
    <xdr:to>
      <xdr:col>40</xdr:col>
      <xdr:colOff>419100</xdr:colOff>
      <xdr:row>45</xdr:row>
      <xdr:rowOff>152400</xdr:rowOff>
    </xdr:to>
    <xdr:graphicFrame>
      <xdr:nvGraphicFramePr>
        <xdr:cNvPr id="5" name="Chart 5"/>
        <xdr:cNvGraphicFramePr/>
      </xdr:nvGraphicFramePr>
      <xdr:xfrm>
        <a:off x="21145500" y="5791200"/>
        <a:ext cx="4905375" cy="2314575"/>
      </xdr:xfrm>
      <a:graphic>
        <a:graphicData uri="http://schemas.openxmlformats.org/drawingml/2006/chart">
          <c:chart xmlns:c="http://schemas.openxmlformats.org/drawingml/2006/chart" r:id="rId5"/>
        </a:graphicData>
      </a:graphic>
    </xdr:graphicFrame>
    <xdr:clientData/>
  </xdr:twoCellAnchor>
  <xdr:twoCellAnchor>
    <xdr:from>
      <xdr:col>32</xdr:col>
      <xdr:colOff>133350</xdr:colOff>
      <xdr:row>48</xdr:row>
      <xdr:rowOff>0</xdr:rowOff>
    </xdr:from>
    <xdr:to>
      <xdr:col>40</xdr:col>
      <xdr:colOff>333375</xdr:colOff>
      <xdr:row>62</xdr:row>
      <xdr:rowOff>38100</xdr:rowOff>
    </xdr:to>
    <xdr:graphicFrame>
      <xdr:nvGraphicFramePr>
        <xdr:cNvPr id="6" name="Chart 6"/>
        <xdr:cNvGraphicFramePr/>
      </xdr:nvGraphicFramePr>
      <xdr:xfrm>
        <a:off x="21040725" y="8439150"/>
        <a:ext cx="4924425" cy="2305050"/>
      </xdr:xfrm>
      <a:graphic>
        <a:graphicData uri="http://schemas.openxmlformats.org/drawingml/2006/chart">
          <c:chart xmlns:c="http://schemas.openxmlformats.org/drawingml/2006/chart" r:id="rId6"/>
        </a:graphicData>
      </a:graphic>
    </xdr:graphicFrame>
    <xdr:clientData/>
  </xdr:twoCellAnchor>
  <xdr:twoCellAnchor>
    <xdr:from>
      <xdr:col>41</xdr:col>
      <xdr:colOff>200025</xdr:colOff>
      <xdr:row>4</xdr:row>
      <xdr:rowOff>152400</xdr:rowOff>
    </xdr:from>
    <xdr:to>
      <xdr:col>50</xdr:col>
      <xdr:colOff>19050</xdr:colOff>
      <xdr:row>20</xdr:row>
      <xdr:rowOff>57150</xdr:rowOff>
    </xdr:to>
    <xdr:graphicFrame>
      <xdr:nvGraphicFramePr>
        <xdr:cNvPr id="7" name="Chart 7"/>
        <xdr:cNvGraphicFramePr/>
      </xdr:nvGraphicFramePr>
      <xdr:xfrm>
        <a:off x="26422350" y="1447800"/>
        <a:ext cx="5133975" cy="2514600"/>
      </xdr:xfrm>
      <a:graphic>
        <a:graphicData uri="http://schemas.openxmlformats.org/drawingml/2006/chart">
          <c:chart xmlns:c="http://schemas.openxmlformats.org/drawingml/2006/chart" r:id="rId7"/>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59</xdr:row>
      <xdr:rowOff>9525</xdr:rowOff>
    </xdr:from>
    <xdr:to>
      <xdr:col>8</xdr:col>
      <xdr:colOff>66675</xdr:colOff>
      <xdr:row>77</xdr:row>
      <xdr:rowOff>0</xdr:rowOff>
    </xdr:to>
    <xdr:graphicFrame>
      <xdr:nvGraphicFramePr>
        <xdr:cNvPr id="1" name="Chart 1"/>
        <xdr:cNvGraphicFramePr/>
      </xdr:nvGraphicFramePr>
      <xdr:xfrm>
        <a:off x="3619500" y="14763750"/>
        <a:ext cx="5057775" cy="2905125"/>
      </xdr:xfrm>
      <a:graphic>
        <a:graphicData uri="http://schemas.openxmlformats.org/drawingml/2006/chart">
          <c:chart xmlns:c="http://schemas.openxmlformats.org/drawingml/2006/chart" r:id="rId1"/>
        </a:graphicData>
      </a:graphic>
    </xdr:graphicFrame>
    <xdr:clientData/>
  </xdr:twoCellAnchor>
  <xdr:twoCellAnchor>
    <xdr:from>
      <xdr:col>2</xdr:col>
      <xdr:colOff>847725</xdr:colOff>
      <xdr:row>79</xdr:row>
      <xdr:rowOff>104775</xdr:rowOff>
    </xdr:from>
    <xdr:to>
      <xdr:col>8</xdr:col>
      <xdr:colOff>57150</xdr:colOff>
      <xdr:row>95</xdr:row>
      <xdr:rowOff>104775</xdr:rowOff>
    </xdr:to>
    <xdr:graphicFrame>
      <xdr:nvGraphicFramePr>
        <xdr:cNvPr id="2" name="Chart 2"/>
        <xdr:cNvGraphicFramePr/>
      </xdr:nvGraphicFramePr>
      <xdr:xfrm>
        <a:off x="4181475" y="18097500"/>
        <a:ext cx="4486275" cy="2590800"/>
      </xdr:xfrm>
      <a:graphic>
        <a:graphicData uri="http://schemas.openxmlformats.org/drawingml/2006/chart">
          <c:chart xmlns:c="http://schemas.openxmlformats.org/drawingml/2006/chart" r:id="rId2"/>
        </a:graphicData>
      </a:graphic>
    </xdr:graphicFrame>
    <xdr:clientData/>
  </xdr:twoCellAnchor>
  <xdr:twoCellAnchor>
    <xdr:from>
      <xdr:col>10</xdr:col>
      <xdr:colOff>419100</xdr:colOff>
      <xdr:row>36</xdr:row>
      <xdr:rowOff>95250</xdr:rowOff>
    </xdr:from>
    <xdr:to>
      <xdr:col>17</xdr:col>
      <xdr:colOff>9525</xdr:colOff>
      <xdr:row>53</xdr:row>
      <xdr:rowOff>57150</xdr:rowOff>
    </xdr:to>
    <xdr:graphicFrame>
      <xdr:nvGraphicFramePr>
        <xdr:cNvPr id="3" name="Chart 3"/>
        <xdr:cNvGraphicFramePr/>
      </xdr:nvGraphicFramePr>
      <xdr:xfrm>
        <a:off x="10687050" y="11125200"/>
        <a:ext cx="5848350" cy="2714625"/>
      </xdr:xfrm>
      <a:graphic>
        <a:graphicData uri="http://schemas.openxmlformats.org/drawingml/2006/chart">
          <c:chart xmlns:c="http://schemas.openxmlformats.org/drawingml/2006/chart" r:id="rId3"/>
        </a:graphicData>
      </a:graphic>
    </xdr:graphicFrame>
    <xdr:clientData/>
  </xdr:twoCellAnchor>
  <xdr:twoCellAnchor>
    <xdr:from>
      <xdr:col>10</xdr:col>
      <xdr:colOff>533400</xdr:colOff>
      <xdr:row>55</xdr:row>
      <xdr:rowOff>123825</xdr:rowOff>
    </xdr:from>
    <xdr:to>
      <xdr:col>17</xdr:col>
      <xdr:colOff>123825</xdr:colOff>
      <xdr:row>72</xdr:row>
      <xdr:rowOff>85725</xdr:rowOff>
    </xdr:to>
    <xdr:graphicFrame>
      <xdr:nvGraphicFramePr>
        <xdr:cNvPr id="4" name="Chart 4"/>
        <xdr:cNvGraphicFramePr/>
      </xdr:nvGraphicFramePr>
      <xdr:xfrm>
        <a:off x="10801350" y="14230350"/>
        <a:ext cx="5848350" cy="2714625"/>
      </xdr:xfrm>
      <a:graphic>
        <a:graphicData uri="http://schemas.openxmlformats.org/drawingml/2006/chart">
          <c:chart xmlns:c="http://schemas.openxmlformats.org/drawingml/2006/chart" r:id="rId4"/>
        </a:graphicData>
      </a:graphic>
    </xdr:graphicFrame>
    <xdr:clientData/>
  </xdr:twoCellAnchor>
  <xdr:twoCellAnchor>
    <xdr:from>
      <xdr:col>20</xdr:col>
      <xdr:colOff>533400</xdr:colOff>
      <xdr:row>57</xdr:row>
      <xdr:rowOff>66675</xdr:rowOff>
    </xdr:from>
    <xdr:to>
      <xdr:col>27</xdr:col>
      <xdr:colOff>514350</xdr:colOff>
      <xdr:row>74</xdr:row>
      <xdr:rowOff>28575</xdr:rowOff>
    </xdr:to>
    <xdr:graphicFrame>
      <xdr:nvGraphicFramePr>
        <xdr:cNvPr id="5" name="Chart 5"/>
        <xdr:cNvGraphicFramePr/>
      </xdr:nvGraphicFramePr>
      <xdr:xfrm>
        <a:off x="18830925" y="14497050"/>
        <a:ext cx="5819775" cy="2714625"/>
      </xdr:xfrm>
      <a:graphic>
        <a:graphicData uri="http://schemas.openxmlformats.org/drawingml/2006/chart">
          <c:chart xmlns:c="http://schemas.openxmlformats.org/drawingml/2006/chart" r:id="rId5"/>
        </a:graphicData>
      </a:graphic>
    </xdr:graphicFrame>
    <xdr:clientData/>
  </xdr:twoCellAnchor>
  <xdr:twoCellAnchor>
    <xdr:from>
      <xdr:col>20</xdr:col>
      <xdr:colOff>523875</xdr:colOff>
      <xdr:row>74</xdr:row>
      <xdr:rowOff>85725</xdr:rowOff>
    </xdr:from>
    <xdr:to>
      <xdr:col>27</xdr:col>
      <xdr:colOff>504825</xdr:colOff>
      <xdr:row>91</xdr:row>
      <xdr:rowOff>57150</xdr:rowOff>
    </xdr:to>
    <xdr:graphicFrame>
      <xdr:nvGraphicFramePr>
        <xdr:cNvPr id="6" name="Chart 6"/>
        <xdr:cNvGraphicFramePr/>
      </xdr:nvGraphicFramePr>
      <xdr:xfrm>
        <a:off x="18821400" y="17268825"/>
        <a:ext cx="5819775" cy="2724150"/>
      </xdr:xfrm>
      <a:graphic>
        <a:graphicData uri="http://schemas.openxmlformats.org/drawingml/2006/chart">
          <c:chart xmlns:c="http://schemas.openxmlformats.org/drawingml/2006/chart" r:id="rId6"/>
        </a:graphicData>
      </a:graphic>
    </xdr:graphicFrame>
    <xdr:clientData/>
  </xdr:twoCellAnchor>
  <xdr:twoCellAnchor>
    <xdr:from>
      <xdr:col>46</xdr:col>
      <xdr:colOff>552450</xdr:colOff>
      <xdr:row>51</xdr:row>
      <xdr:rowOff>57150</xdr:rowOff>
    </xdr:from>
    <xdr:to>
      <xdr:col>52</xdr:col>
      <xdr:colOff>76200</xdr:colOff>
      <xdr:row>68</xdr:row>
      <xdr:rowOff>9525</xdr:rowOff>
    </xdr:to>
    <xdr:graphicFrame>
      <xdr:nvGraphicFramePr>
        <xdr:cNvPr id="7" name="Chart 7"/>
        <xdr:cNvGraphicFramePr/>
      </xdr:nvGraphicFramePr>
      <xdr:xfrm>
        <a:off x="37071300" y="13515975"/>
        <a:ext cx="5848350" cy="2705100"/>
      </xdr:xfrm>
      <a:graphic>
        <a:graphicData uri="http://schemas.openxmlformats.org/drawingml/2006/chart">
          <c:chart xmlns:c="http://schemas.openxmlformats.org/drawingml/2006/chart" r:id="rId7"/>
        </a:graphicData>
      </a:graphic>
    </xdr:graphicFrame>
    <xdr:clientData/>
  </xdr:twoCellAnchor>
  <xdr:twoCellAnchor>
    <xdr:from>
      <xdr:col>46</xdr:col>
      <xdr:colOff>762000</xdr:colOff>
      <xdr:row>70</xdr:row>
      <xdr:rowOff>0</xdr:rowOff>
    </xdr:from>
    <xdr:to>
      <xdr:col>52</xdr:col>
      <xdr:colOff>276225</xdr:colOff>
      <xdr:row>86</xdr:row>
      <xdr:rowOff>123825</xdr:rowOff>
    </xdr:to>
    <xdr:graphicFrame>
      <xdr:nvGraphicFramePr>
        <xdr:cNvPr id="8" name="Chart 8"/>
        <xdr:cNvGraphicFramePr/>
      </xdr:nvGraphicFramePr>
      <xdr:xfrm>
        <a:off x="37280850" y="16535400"/>
        <a:ext cx="5838825" cy="271462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933450</xdr:colOff>
      <xdr:row>16</xdr:row>
      <xdr:rowOff>152400</xdr:rowOff>
    </xdr:from>
    <xdr:to>
      <xdr:col>23</xdr:col>
      <xdr:colOff>104775</xdr:colOff>
      <xdr:row>34</xdr:row>
      <xdr:rowOff>28575</xdr:rowOff>
    </xdr:to>
    <xdr:graphicFrame>
      <xdr:nvGraphicFramePr>
        <xdr:cNvPr id="1" name="Chart 3"/>
        <xdr:cNvGraphicFramePr/>
      </xdr:nvGraphicFramePr>
      <xdr:xfrm>
        <a:off x="10601325" y="3400425"/>
        <a:ext cx="5715000" cy="2790825"/>
      </xdr:xfrm>
      <a:graphic>
        <a:graphicData uri="http://schemas.openxmlformats.org/drawingml/2006/chart">
          <c:chart xmlns:c="http://schemas.openxmlformats.org/drawingml/2006/chart" r:id="rId1"/>
        </a:graphicData>
      </a:graphic>
    </xdr:graphicFrame>
    <xdr:clientData/>
  </xdr:twoCellAnchor>
  <xdr:twoCellAnchor>
    <xdr:from>
      <xdr:col>13</xdr:col>
      <xdr:colOff>885825</xdr:colOff>
      <xdr:row>35</xdr:row>
      <xdr:rowOff>104775</xdr:rowOff>
    </xdr:from>
    <xdr:to>
      <xdr:col>23</xdr:col>
      <xdr:colOff>57150</xdr:colOff>
      <xdr:row>52</xdr:row>
      <xdr:rowOff>152400</xdr:rowOff>
    </xdr:to>
    <xdr:graphicFrame>
      <xdr:nvGraphicFramePr>
        <xdr:cNvPr id="2" name="Chart 4"/>
        <xdr:cNvGraphicFramePr/>
      </xdr:nvGraphicFramePr>
      <xdr:xfrm>
        <a:off x="10553700" y="6429375"/>
        <a:ext cx="5715000" cy="2800350"/>
      </xdr:xfrm>
      <a:graphic>
        <a:graphicData uri="http://schemas.openxmlformats.org/drawingml/2006/chart">
          <c:chart xmlns:c="http://schemas.openxmlformats.org/drawingml/2006/chart" r:id="rId2"/>
        </a:graphicData>
      </a:graphic>
    </xdr:graphicFrame>
    <xdr:clientData/>
  </xdr:twoCellAnchor>
  <xdr:twoCellAnchor>
    <xdr:from>
      <xdr:col>23</xdr:col>
      <xdr:colOff>285750</xdr:colOff>
      <xdr:row>16</xdr:row>
      <xdr:rowOff>152400</xdr:rowOff>
    </xdr:from>
    <xdr:to>
      <xdr:col>33</xdr:col>
      <xdr:colOff>76200</xdr:colOff>
      <xdr:row>34</xdr:row>
      <xdr:rowOff>9525</xdr:rowOff>
    </xdr:to>
    <xdr:graphicFrame>
      <xdr:nvGraphicFramePr>
        <xdr:cNvPr id="3" name="Chart 5"/>
        <xdr:cNvGraphicFramePr/>
      </xdr:nvGraphicFramePr>
      <xdr:xfrm>
        <a:off x="16497300" y="3400425"/>
        <a:ext cx="5695950" cy="2771775"/>
      </xdr:xfrm>
      <a:graphic>
        <a:graphicData uri="http://schemas.openxmlformats.org/drawingml/2006/chart">
          <c:chart xmlns:c="http://schemas.openxmlformats.org/drawingml/2006/chart" r:id="rId3"/>
        </a:graphicData>
      </a:graphic>
    </xdr:graphicFrame>
    <xdr:clientData/>
  </xdr:twoCellAnchor>
  <xdr:twoCellAnchor>
    <xdr:from>
      <xdr:col>23</xdr:col>
      <xdr:colOff>342900</xdr:colOff>
      <xdr:row>34</xdr:row>
      <xdr:rowOff>152400</xdr:rowOff>
    </xdr:from>
    <xdr:to>
      <xdr:col>33</xdr:col>
      <xdr:colOff>142875</xdr:colOff>
      <xdr:row>52</xdr:row>
      <xdr:rowOff>28575</xdr:rowOff>
    </xdr:to>
    <xdr:graphicFrame>
      <xdr:nvGraphicFramePr>
        <xdr:cNvPr id="4" name="Chart 6"/>
        <xdr:cNvGraphicFramePr/>
      </xdr:nvGraphicFramePr>
      <xdr:xfrm>
        <a:off x="16554450" y="6315075"/>
        <a:ext cx="5705475" cy="2790825"/>
      </xdr:xfrm>
      <a:graphic>
        <a:graphicData uri="http://schemas.openxmlformats.org/drawingml/2006/chart">
          <c:chart xmlns:c="http://schemas.openxmlformats.org/drawingml/2006/chart" r:id="rId4"/>
        </a:graphicData>
      </a:graphic>
    </xdr:graphicFrame>
    <xdr:clientData/>
  </xdr:twoCellAnchor>
  <xdr:twoCellAnchor>
    <xdr:from>
      <xdr:col>34</xdr:col>
      <xdr:colOff>19050</xdr:colOff>
      <xdr:row>17</xdr:row>
      <xdr:rowOff>0</xdr:rowOff>
    </xdr:from>
    <xdr:to>
      <xdr:col>43</xdr:col>
      <xdr:colOff>409575</xdr:colOff>
      <xdr:row>34</xdr:row>
      <xdr:rowOff>38100</xdr:rowOff>
    </xdr:to>
    <xdr:graphicFrame>
      <xdr:nvGraphicFramePr>
        <xdr:cNvPr id="5" name="Chart 7"/>
        <xdr:cNvGraphicFramePr/>
      </xdr:nvGraphicFramePr>
      <xdr:xfrm>
        <a:off x="22726650" y="3409950"/>
        <a:ext cx="5705475" cy="2790825"/>
      </xdr:xfrm>
      <a:graphic>
        <a:graphicData uri="http://schemas.openxmlformats.org/drawingml/2006/chart">
          <c:chart xmlns:c="http://schemas.openxmlformats.org/drawingml/2006/chart" r:id="rId5"/>
        </a:graphicData>
      </a:graphic>
    </xdr:graphicFrame>
    <xdr:clientData/>
  </xdr:twoCellAnchor>
  <xdr:twoCellAnchor>
    <xdr:from>
      <xdr:col>34</xdr:col>
      <xdr:colOff>38100</xdr:colOff>
      <xdr:row>36</xdr:row>
      <xdr:rowOff>133350</xdr:rowOff>
    </xdr:from>
    <xdr:to>
      <xdr:col>43</xdr:col>
      <xdr:colOff>419100</xdr:colOff>
      <xdr:row>54</xdr:row>
      <xdr:rowOff>9525</xdr:rowOff>
    </xdr:to>
    <xdr:graphicFrame>
      <xdr:nvGraphicFramePr>
        <xdr:cNvPr id="6" name="Chart 8"/>
        <xdr:cNvGraphicFramePr/>
      </xdr:nvGraphicFramePr>
      <xdr:xfrm>
        <a:off x="22745700" y="6619875"/>
        <a:ext cx="5695950" cy="2790825"/>
      </xdr:xfrm>
      <a:graphic>
        <a:graphicData uri="http://schemas.openxmlformats.org/drawingml/2006/chart">
          <c:chart xmlns:c="http://schemas.openxmlformats.org/drawingml/2006/chart" r:id="rId6"/>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209550</xdr:colOff>
      <xdr:row>20</xdr:row>
      <xdr:rowOff>104775</xdr:rowOff>
    </xdr:from>
    <xdr:to>
      <xdr:col>25</xdr:col>
      <xdr:colOff>9525</xdr:colOff>
      <xdr:row>37</xdr:row>
      <xdr:rowOff>66675</xdr:rowOff>
    </xdr:to>
    <xdr:graphicFrame>
      <xdr:nvGraphicFramePr>
        <xdr:cNvPr id="1" name="Chart 1"/>
        <xdr:cNvGraphicFramePr/>
      </xdr:nvGraphicFramePr>
      <xdr:xfrm>
        <a:off x="13030200" y="4010025"/>
        <a:ext cx="5705475" cy="2714625"/>
      </xdr:xfrm>
      <a:graphic>
        <a:graphicData uri="http://schemas.openxmlformats.org/drawingml/2006/chart">
          <c:chart xmlns:c="http://schemas.openxmlformats.org/drawingml/2006/chart" r:id="rId1"/>
        </a:graphicData>
      </a:graphic>
    </xdr:graphicFrame>
    <xdr:clientData/>
  </xdr:twoCellAnchor>
  <xdr:twoCellAnchor>
    <xdr:from>
      <xdr:col>26</xdr:col>
      <xdr:colOff>85725</xdr:colOff>
      <xdr:row>20</xdr:row>
      <xdr:rowOff>9525</xdr:rowOff>
    </xdr:from>
    <xdr:to>
      <xdr:col>35</xdr:col>
      <xdr:colOff>476250</xdr:colOff>
      <xdr:row>36</xdr:row>
      <xdr:rowOff>152400</xdr:rowOff>
    </xdr:to>
    <xdr:graphicFrame>
      <xdr:nvGraphicFramePr>
        <xdr:cNvPr id="2" name="Chart 2"/>
        <xdr:cNvGraphicFramePr/>
      </xdr:nvGraphicFramePr>
      <xdr:xfrm>
        <a:off x="19402425" y="3914775"/>
        <a:ext cx="5705475" cy="2733675"/>
      </xdr:xfrm>
      <a:graphic>
        <a:graphicData uri="http://schemas.openxmlformats.org/drawingml/2006/chart">
          <c:chart xmlns:c="http://schemas.openxmlformats.org/drawingml/2006/chart" r:id="rId2"/>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29</xdr:row>
      <xdr:rowOff>152400</xdr:rowOff>
    </xdr:from>
    <xdr:to>
      <xdr:col>15</xdr:col>
      <xdr:colOff>476250</xdr:colOff>
      <xdr:row>46</xdr:row>
      <xdr:rowOff>104775</xdr:rowOff>
    </xdr:to>
    <xdr:graphicFrame>
      <xdr:nvGraphicFramePr>
        <xdr:cNvPr id="1" name="Chart 1"/>
        <xdr:cNvGraphicFramePr/>
      </xdr:nvGraphicFramePr>
      <xdr:xfrm>
        <a:off x="6086475" y="5715000"/>
        <a:ext cx="6600825" cy="2705100"/>
      </xdr:xfrm>
      <a:graphic>
        <a:graphicData uri="http://schemas.openxmlformats.org/drawingml/2006/chart">
          <c:chart xmlns:c="http://schemas.openxmlformats.org/drawingml/2006/chart" r:id="rId1"/>
        </a:graphicData>
      </a:graphic>
    </xdr:graphicFrame>
    <xdr:clientData/>
  </xdr:twoCellAnchor>
  <xdr:twoCellAnchor>
    <xdr:from>
      <xdr:col>6</xdr:col>
      <xdr:colOff>76200</xdr:colOff>
      <xdr:row>47</xdr:row>
      <xdr:rowOff>28575</xdr:rowOff>
    </xdr:from>
    <xdr:to>
      <xdr:col>15</xdr:col>
      <xdr:colOff>466725</xdr:colOff>
      <xdr:row>63</xdr:row>
      <xdr:rowOff>152400</xdr:rowOff>
    </xdr:to>
    <xdr:graphicFrame>
      <xdr:nvGraphicFramePr>
        <xdr:cNvPr id="2" name="Chart 2"/>
        <xdr:cNvGraphicFramePr/>
      </xdr:nvGraphicFramePr>
      <xdr:xfrm>
        <a:off x="6076950" y="8505825"/>
        <a:ext cx="6600825" cy="2714625"/>
      </xdr:xfrm>
      <a:graphic>
        <a:graphicData uri="http://schemas.openxmlformats.org/drawingml/2006/chart">
          <c:chart xmlns:c="http://schemas.openxmlformats.org/drawingml/2006/chart" r:id="rId2"/>
        </a:graphicData>
      </a:graphic>
    </xdr:graphicFrame>
    <xdr:clientData/>
  </xdr:twoCellAnchor>
  <xdr:twoCellAnchor>
    <xdr:from>
      <xdr:col>16</xdr:col>
      <xdr:colOff>390525</xdr:colOff>
      <xdr:row>18</xdr:row>
      <xdr:rowOff>85725</xdr:rowOff>
    </xdr:from>
    <xdr:to>
      <xdr:col>26</xdr:col>
      <xdr:colOff>190500</xdr:colOff>
      <xdr:row>35</xdr:row>
      <xdr:rowOff>57150</xdr:rowOff>
    </xdr:to>
    <xdr:graphicFrame>
      <xdr:nvGraphicFramePr>
        <xdr:cNvPr id="3" name="Chart 3"/>
        <xdr:cNvGraphicFramePr/>
      </xdr:nvGraphicFramePr>
      <xdr:xfrm>
        <a:off x="13192125" y="3867150"/>
        <a:ext cx="5705475" cy="2724150"/>
      </xdr:xfrm>
      <a:graphic>
        <a:graphicData uri="http://schemas.openxmlformats.org/drawingml/2006/chart">
          <c:chart xmlns:c="http://schemas.openxmlformats.org/drawingml/2006/chart" r:id="rId3"/>
        </a:graphicData>
      </a:graphic>
    </xdr:graphicFrame>
    <xdr:clientData/>
  </xdr:twoCellAnchor>
  <xdr:twoCellAnchor>
    <xdr:from>
      <xdr:col>17</xdr:col>
      <xdr:colOff>438150</xdr:colOff>
      <xdr:row>36</xdr:row>
      <xdr:rowOff>57150</xdr:rowOff>
    </xdr:from>
    <xdr:to>
      <xdr:col>27</xdr:col>
      <xdr:colOff>238125</xdr:colOff>
      <xdr:row>53</xdr:row>
      <xdr:rowOff>9525</xdr:rowOff>
    </xdr:to>
    <xdr:graphicFrame>
      <xdr:nvGraphicFramePr>
        <xdr:cNvPr id="4" name="Chart 4"/>
        <xdr:cNvGraphicFramePr/>
      </xdr:nvGraphicFramePr>
      <xdr:xfrm>
        <a:off x="13830300" y="6753225"/>
        <a:ext cx="5705475" cy="2705100"/>
      </xdr:xfrm>
      <a:graphic>
        <a:graphicData uri="http://schemas.openxmlformats.org/drawingml/2006/chart">
          <c:chart xmlns:c="http://schemas.openxmlformats.org/drawingml/2006/chart" r:id="rId4"/>
        </a:graphicData>
      </a:graphic>
    </xdr:graphicFrame>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257175</xdr:colOff>
      <xdr:row>28</xdr:row>
      <xdr:rowOff>123825</xdr:rowOff>
    </xdr:from>
    <xdr:to>
      <xdr:col>15</xdr:col>
      <xdr:colOff>57150</xdr:colOff>
      <xdr:row>45</xdr:row>
      <xdr:rowOff>85725</xdr:rowOff>
    </xdr:to>
    <xdr:graphicFrame>
      <xdr:nvGraphicFramePr>
        <xdr:cNvPr id="1" name="Chart 1"/>
        <xdr:cNvGraphicFramePr/>
      </xdr:nvGraphicFramePr>
      <xdr:xfrm>
        <a:off x="7019925" y="5305425"/>
        <a:ext cx="6229350" cy="2714625"/>
      </xdr:xfrm>
      <a:graphic>
        <a:graphicData uri="http://schemas.openxmlformats.org/drawingml/2006/chart">
          <c:chart xmlns:c="http://schemas.openxmlformats.org/drawingml/2006/chart" r:id="rId1"/>
        </a:graphicData>
      </a:graphic>
    </xdr:graphicFrame>
    <xdr:clientData/>
  </xdr:twoCellAnchor>
  <xdr:twoCellAnchor>
    <xdr:from>
      <xdr:col>7</xdr:col>
      <xdr:colOff>285750</xdr:colOff>
      <xdr:row>46</xdr:row>
      <xdr:rowOff>57150</xdr:rowOff>
    </xdr:from>
    <xdr:to>
      <xdr:col>15</xdr:col>
      <xdr:colOff>76200</xdr:colOff>
      <xdr:row>63</xdr:row>
      <xdr:rowOff>9525</xdr:rowOff>
    </xdr:to>
    <xdr:graphicFrame>
      <xdr:nvGraphicFramePr>
        <xdr:cNvPr id="2" name="Chart 2"/>
        <xdr:cNvGraphicFramePr/>
      </xdr:nvGraphicFramePr>
      <xdr:xfrm>
        <a:off x="7048500" y="8153400"/>
        <a:ext cx="6219825" cy="2705100"/>
      </xdr:xfrm>
      <a:graphic>
        <a:graphicData uri="http://schemas.openxmlformats.org/drawingml/2006/chart">
          <c:chart xmlns:c="http://schemas.openxmlformats.org/drawingml/2006/chart" r:id="rId2"/>
        </a:graphicData>
      </a:graphic>
    </xdr:graphicFrame>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447675</xdr:colOff>
      <xdr:row>21</xdr:row>
      <xdr:rowOff>85725</xdr:rowOff>
    </xdr:from>
    <xdr:to>
      <xdr:col>24</xdr:col>
      <xdr:colOff>57150</xdr:colOff>
      <xdr:row>36</xdr:row>
      <xdr:rowOff>38100</xdr:rowOff>
    </xdr:to>
    <xdr:graphicFrame>
      <xdr:nvGraphicFramePr>
        <xdr:cNvPr id="1" name="Chart 4"/>
        <xdr:cNvGraphicFramePr/>
      </xdr:nvGraphicFramePr>
      <xdr:xfrm>
        <a:off x="9858375" y="3924300"/>
        <a:ext cx="4924425" cy="2381250"/>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247650</xdr:colOff>
      <xdr:row>28</xdr:row>
      <xdr:rowOff>104775</xdr:rowOff>
    </xdr:from>
    <xdr:to>
      <xdr:col>24</xdr:col>
      <xdr:colOff>47625</xdr:colOff>
      <xdr:row>45</xdr:row>
      <xdr:rowOff>66675</xdr:rowOff>
    </xdr:to>
    <xdr:graphicFrame>
      <xdr:nvGraphicFramePr>
        <xdr:cNvPr id="1" name="Chart 1"/>
        <xdr:cNvGraphicFramePr/>
      </xdr:nvGraphicFramePr>
      <xdr:xfrm>
        <a:off x="13392150" y="5286375"/>
        <a:ext cx="5705475" cy="2714625"/>
      </xdr:xfrm>
      <a:graphic>
        <a:graphicData uri="http://schemas.openxmlformats.org/drawingml/2006/chart">
          <c:chart xmlns:c="http://schemas.openxmlformats.org/drawingml/2006/chart" r:id="rId1"/>
        </a:graphicData>
      </a:graphic>
    </xdr:graphicFrame>
    <xdr:clientData/>
  </xdr:twoCellAnchor>
  <xdr:twoCellAnchor>
    <xdr:from>
      <xdr:col>14</xdr:col>
      <xdr:colOff>247650</xdr:colOff>
      <xdr:row>46</xdr:row>
      <xdr:rowOff>0</xdr:rowOff>
    </xdr:from>
    <xdr:to>
      <xdr:col>24</xdr:col>
      <xdr:colOff>38100</xdr:colOff>
      <xdr:row>62</xdr:row>
      <xdr:rowOff>123825</xdr:rowOff>
    </xdr:to>
    <xdr:graphicFrame>
      <xdr:nvGraphicFramePr>
        <xdr:cNvPr id="2" name="Chart 2"/>
        <xdr:cNvGraphicFramePr/>
      </xdr:nvGraphicFramePr>
      <xdr:xfrm>
        <a:off x="13392150" y="8096250"/>
        <a:ext cx="5695950" cy="2714625"/>
      </xdr:xfrm>
      <a:graphic>
        <a:graphicData uri="http://schemas.openxmlformats.org/drawingml/2006/chart">
          <c:chart xmlns:c="http://schemas.openxmlformats.org/drawingml/2006/chart" r:id="rId2"/>
        </a:graphicData>
      </a:graphic>
    </xdr:graphicFrame>
    <xdr:clientData/>
  </xdr:twoCellAnchor>
  <xdr:twoCellAnchor>
    <xdr:from>
      <xdr:col>24</xdr:col>
      <xdr:colOff>266700</xdr:colOff>
      <xdr:row>25</xdr:row>
      <xdr:rowOff>66675</xdr:rowOff>
    </xdr:from>
    <xdr:to>
      <xdr:col>34</xdr:col>
      <xdr:colOff>66675</xdr:colOff>
      <xdr:row>42</xdr:row>
      <xdr:rowOff>28575</xdr:rowOff>
    </xdr:to>
    <xdr:graphicFrame>
      <xdr:nvGraphicFramePr>
        <xdr:cNvPr id="3" name="Chart 3"/>
        <xdr:cNvGraphicFramePr/>
      </xdr:nvGraphicFramePr>
      <xdr:xfrm>
        <a:off x="19316700" y="4762500"/>
        <a:ext cx="5705475" cy="2714625"/>
      </xdr:xfrm>
      <a:graphic>
        <a:graphicData uri="http://schemas.openxmlformats.org/drawingml/2006/chart">
          <c:chart xmlns:c="http://schemas.openxmlformats.org/drawingml/2006/chart" r:id="rId3"/>
        </a:graphicData>
      </a:graphic>
    </xdr:graphicFrame>
    <xdr:clientData/>
  </xdr:twoCellAnchor>
  <xdr:twoCellAnchor>
    <xdr:from>
      <xdr:col>24</xdr:col>
      <xdr:colOff>180975</xdr:colOff>
      <xdr:row>44</xdr:row>
      <xdr:rowOff>57150</xdr:rowOff>
    </xdr:from>
    <xdr:to>
      <xdr:col>33</xdr:col>
      <xdr:colOff>571500</xdr:colOff>
      <xdr:row>61</xdr:row>
      <xdr:rowOff>9525</xdr:rowOff>
    </xdr:to>
    <xdr:graphicFrame>
      <xdr:nvGraphicFramePr>
        <xdr:cNvPr id="4" name="Chart 4"/>
        <xdr:cNvGraphicFramePr/>
      </xdr:nvGraphicFramePr>
      <xdr:xfrm>
        <a:off x="19230975" y="7829550"/>
        <a:ext cx="5705475" cy="2705100"/>
      </xdr:xfrm>
      <a:graphic>
        <a:graphicData uri="http://schemas.openxmlformats.org/drawingml/2006/chart">
          <c:chart xmlns:c="http://schemas.openxmlformats.org/drawingml/2006/chart" r:id="rId4"/>
        </a:graphicData>
      </a:graphic>
    </xdr:graphicFrame>
    <xdr:clientData/>
  </xdr:twoCellAnchor>
  <xdr:twoCellAnchor>
    <xdr:from>
      <xdr:col>34</xdr:col>
      <xdr:colOff>276225</xdr:colOff>
      <xdr:row>22</xdr:row>
      <xdr:rowOff>57150</xdr:rowOff>
    </xdr:from>
    <xdr:to>
      <xdr:col>44</xdr:col>
      <xdr:colOff>76200</xdr:colOff>
      <xdr:row>39</xdr:row>
      <xdr:rowOff>9525</xdr:rowOff>
    </xdr:to>
    <xdr:graphicFrame>
      <xdr:nvGraphicFramePr>
        <xdr:cNvPr id="5" name="Chart 5"/>
        <xdr:cNvGraphicFramePr/>
      </xdr:nvGraphicFramePr>
      <xdr:xfrm>
        <a:off x="25231725" y="4267200"/>
        <a:ext cx="5705475" cy="2705100"/>
      </xdr:xfrm>
      <a:graphic>
        <a:graphicData uri="http://schemas.openxmlformats.org/drawingml/2006/chart">
          <c:chart xmlns:c="http://schemas.openxmlformats.org/drawingml/2006/chart" r:id="rId5"/>
        </a:graphicData>
      </a:graphic>
    </xdr:graphicFrame>
    <xdr:clientData/>
  </xdr:twoCellAnchor>
  <xdr:twoCellAnchor>
    <xdr:from>
      <xdr:col>34</xdr:col>
      <xdr:colOff>419100</xdr:colOff>
      <xdr:row>40</xdr:row>
      <xdr:rowOff>133350</xdr:rowOff>
    </xdr:from>
    <xdr:to>
      <xdr:col>44</xdr:col>
      <xdr:colOff>219075</xdr:colOff>
      <xdr:row>57</xdr:row>
      <xdr:rowOff>95250</xdr:rowOff>
    </xdr:to>
    <xdr:graphicFrame>
      <xdr:nvGraphicFramePr>
        <xdr:cNvPr id="6" name="Chart 6"/>
        <xdr:cNvGraphicFramePr/>
      </xdr:nvGraphicFramePr>
      <xdr:xfrm>
        <a:off x="25374600" y="7258050"/>
        <a:ext cx="5705475" cy="2714625"/>
      </xdr:xfrm>
      <a:graphic>
        <a:graphicData uri="http://schemas.openxmlformats.org/drawingml/2006/chart">
          <c:chart xmlns:c="http://schemas.openxmlformats.org/drawingml/2006/chart" r:id="rId6"/>
        </a:graphicData>
      </a:graphic>
    </xdr:graphicFrame>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342900</xdr:colOff>
      <xdr:row>34</xdr:row>
      <xdr:rowOff>152400</xdr:rowOff>
    </xdr:from>
    <xdr:to>
      <xdr:col>14</xdr:col>
      <xdr:colOff>447675</xdr:colOff>
      <xdr:row>51</xdr:row>
      <xdr:rowOff>104775</xdr:rowOff>
    </xdr:to>
    <xdr:graphicFrame>
      <xdr:nvGraphicFramePr>
        <xdr:cNvPr id="1" name="Chart 1"/>
        <xdr:cNvGraphicFramePr/>
      </xdr:nvGraphicFramePr>
      <xdr:xfrm>
        <a:off x="10401300" y="6305550"/>
        <a:ext cx="7686675" cy="2705100"/>
      </xdr:xfrm>
      <a:graphic>
        <a:graphicData uri="http://schemas.openxmlformats.org/drawingml/2006/chart">
          <c:chart xmlns:c="http://schemas.openxmlformats.org/drawingml/2006/chart" r:id="rId1"/>
        </a:graphicData>
      </a:graphic>
    </xdr:graphicFrame>
    <xdr:clientData/>
  </xdr:twoCellAnchor>
  <xdr:twoCellAnchor>
    <xdr:from>
      <xdr:col>6</xdr:col>
      <xdr:colOff>152400</xdr:colOff>
      <xdr:row>54</xdr:row>
      <xdr:rowOff>123825</xdr:rowOff>
    </xdr:from>
    <xdr:to>
      <xdr:col>14</xdr:col>
      <xdr:colOff>257175</xdr:colOff>
      <xdr:row>71</xdr:row>
      <xdr:rowOff>85725</xdr:rowOff>
    </xdr:to>
    <xdr:graphicFrame>
      <xdr:nvGraphicFramePr>
        <xdr:cNvPr id="2" name="Chart 2"/>
        <xdr:cNvGraphicFramePr/>
      </xdr:nvGraphicFramePr>
      <xdr:xfrm>
        <a:off x="10210800" y="9515475"/>
        <a:ext cx="7686675" cy="2714625"/>
      </xdr:xfrm>
      <a:graphic>
        <a:graphicData uri="http://schemas.openxmlformats.org/drawingml/2006/chart">
          <c:chart xmlns:c="http://schemas.openxmlformats.org/drawingml/2006/chart" r:id="rId2"/>
        </a:graphicData>
      </a:graphic>
    </xdr:graphicFrame>
    <xdr:clientData/>
  </xdr:twoCellAnchor>
  <xdr:twoCellAnchor>
    <xdr:from>
      <xdr:col>15</xdr:col>
      <xdr:colOff>457200</xdr:colOff>
      <xdr:row>31</xdr:row>
      <xdr:rowOff>66675</xdr:rowOff>
    </xdr:from>
    <xdr:to>
      <xdr:col>25</xdr:col>
      <xdr:colOff>257175</xdr:colOff>
      <xdr:row>48</xdr:row>
      <xdr:rowOff>28575</xdr:rowOff>
    </xdr:to>
    <xdr:graphicFrame>
      <xdr:nvGraphicFramePr>
        <xdr:cNvPr id="3" name="Chart 3"/>
        <xdr:cNvGraphicFramePr/>
      </xdr:nvGraphicFramePr>
      <xdr:xfrm>
        <a:off x="18688050" y="5734050"/>
        <a:ext cx="5705475" cy="2714625"/>
      </xdr:xfrm>
      <a:graphic>
        <a:graphicData uri="http://schemas.openxmlformats.org/drawingml/2006/chart">
          <c:chart xmlns:c="http://schemas.openxmlformats.org/drawingml/2006/chart" r:id="rId3"/>
        </a:graphicData>
      </a:graphic>
    </xdr:graphicFrame>
    <xdr:clientData/>
  </xdr:twoCellAnchor>
  <xdr:twoCellAnchor>
    <xdr:from>
      <xdr:col>16</xdr:col>
      <xdr:colOff>190500</xdr:colOff>
      <xdr:row>49</xdr:row>
      <xdr:rowOff>57150</xdr:rowOff>
    </xdr:from>
    <xdr:to>
      <xdr:col>25</xdr:col>
      <xdr:colOff>581025</xdr:colOff>
      <xdr:row>66</xdr:row>
      <xdr:rowOff>9525</xdr:rowOff>
    </xdr:to>
    <xdr:graphicFrame>
      <xdr:nvGraphicFramePr>
        <xdr:cNvPr id="4" name="Chart 4"/>
        <xdr:cNvGraphicFramePr/>
      </xdr:nvGraphicFramePr>
      <xdr:xfrm>
        <a:off x="19011900" y="8639175"/>
        <a:ext cx="5705475" cy="2705100"/>
      </xdr:xfrm>
      <a:graphic>
        <a:graphicData uri="http://schemas.openxmlformats.org/drawingml/2006/chart">
          <c:chart xmlns:c="http://schemas.openxmlformats.org/drawingml/2006/chart" r:id="rId4"/>
        </a:graphicData>
      </a:graphic>
    </xdr:graphicFrame>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28</xdr:row>
      <xdr:rowOff>57150</xdr:rowOff>
    </xdr:from>
    <xdr:to>
      <xdr:col>11</xdr:col>
      <xdr:colOff>981075</xdr:colOff>
      <xdr:row>45</xdr:row>
      <xdr:rowOff>9525</xdr:rowOff>
    </xdr:to>
    <xdr:graphicFrame>
      <xdr:nvGraphicFramePr>
        <xdr:cNvPr id="1" name="Chart 1"/>
        <xdr:cNvGraphicFramePr/>
      </xdr:nvGraphicFramePr>
      <xdr:xfrm>
        <a:off x="5124450" y="5238750"/>
        <a:ext cx="5800725" cy="2705100"/>
      </xdr:xfrm>
      <a:graphic>
        <a:graphicData uri="http://schemas.openxmlformats.org/drawingml/2006/chart">
          <c:chart xmlns:c="http://schemas.openxmlformats.org/drawingml/2006/chart" r:id="rId1"/>
        </a:graphicData>
      </a:graphic>
    </xdr:graphicFrame>
    <xdr:clientData/>
  </xdr:twoCellAnchor>
  <xdr:twoCellAnchor>
    <xdr:from>
      <xdr:col>6</xdr:col>
      <xdr:colOff>590550</xdr:colOff>
      <xdr:row>47</xdr:row>
      <xdr:rowOff>57150</xdr:rowOff>
    </xdr:from>
    <xdr:to>
      <xdr:col>12</xdr:col>
      <xdr:colOff>266700</xdr:colOff>
      <xdr:row>64</xdr:row>
      <xdr:rowOff>9525</xdr:rowOff>
    </xdr:to>
    <xdr:graphicFrame>
      <xdr:nvGraphicFramePr>
        <xdr:cNvPr id="2" name="Chart 2"/>
        <xdr:cNvGraphicFramePr/>
      </xdr:nvGraphicFramePr>
      <xdr:xfrm>
        <a:off x="5572125" y="8315325"/>
        <a:ext cx="5800725" cy="2705100"/>
      </xdr:xfrm>
      <a:graphic>
        <a:graphicData uri="http://schemas.openxmlformats.org/drawingml/2006/chart">
          <c:chart xmlns:c="http://schemas.openxmlformats.org/drawingml/2006/chart" r:id="rId2"/>
        </a:graphicData>
      </a:graphic>
    </xdr:graphicFrame>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21</xdr:row>
      <xdr:rowOff>57150</xdr:rowOff>
    </xdr:from>
    <xdr:to>
      <xdr:col>10</xdr:col>
      <xdr:colOff>838200</xdr:colOff>
      <xdr:row>38</xdr:row>
      <xdr:rowOff>9525</xdr:rowOff>
    </xdr:to>
    <xdr:graphicFrame>
      <xdr:nvGraphicFramePr>
        <xdr:cNvPr id="1" name="Chart 1"/>
        <xdr:cNvGraphicFramePr/>
      </xdr:nvGraphicFramePr>
      <xdr:xfrm>
        <a:off x="3028950" y="3781425"/>
        <a:ext cx="6705600" cy="2705100"/>
      </xdr:xfrm>
      <a:graphic>
        <a:graphicData uri="http://schemas.openxmlformats.org/drawingml/2006/chart">
          <c:chart xmlns:c="http://schemas.openxmlformats.org/drawingml/2006/chart" r:id="rId1"/>
        </a:graphicData>
      </a:graphic>
    </xdr:graphicFrame>
    <xdr:clientData/>
  </xdr:twoCellAnchor>
  <xdr:twoCellAnchor>
    <xdr:from>
      <xdr:col>11</xdr:col>
      <xdr:colOff>428625</xdr:colOff>
      <xdr:row>22</xdr:row>
      <xdr:rowOff>9525</xdr:rowOff>
    </xdr:from>
    <xdr:to>
      <xdr:col>19</xdr:col>
      <xdr:colOff>285750</xdr:colOff>
      <xdr:row>38</xdr:row>
      <xdr:rowOff>152400</xdr:rowOff>
    </xdr:to>
    <xdr:graphicFrame>
      <xdr:nvGraphicFramePr>
        <xdr:cNvPr id="2" name="Chart 2"/>
        <xdr:cNvGraphicFramePr/>
      </xdr:nvGraphicFramePr>
      <xdr:xfrm>
        <a:off x="10372725" y="3895725"/>
        <a:ext cx="6810375" cy="2733675"/>
      </xdr:xfrm>
      <a:graphic>
        <a:graphicData uri="http://schemas.openxmlformats.org/drawingml/2006/chart">
          <c:chart xmlns:c="http://schemas.openxmlformats.org/drawingml/2006/chart" r:id="rId2"/>
        </a:graphicData>
      </a:graphic>
    </xdr:graphicFrame>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1047750</xdr:colOff>
      <xdr:row>15</xdr:row>
      <xdr:rowOff>0</xdr:rowOff>
    </xdr:from>
    <xdr:to>
      <xdr:col>5</xdr:col>
      <xdr:colOff>657225</xdr:colOff>
      <xdr:row>36</xdr:row>
      <xdr:rowOff>38100</xdr:rowOff>
    </xdr:to>
    <xdr:graphicFrame>
      <xdr:nvGraphicFramePr>
        <xdr:cNvPr id="1" name="2500"/>
        <xdr:cNvGraphicFramePr/>
      </xdr:nvGraphicFramePr>
      <xdr:xfrm>
        <a:off x="1162050" y="3038475"/>
        <a:ext cx="3457575" cy="3438525"/>
      </xdr:xfrm>
      <a:graphic>
        <a:graphicData uri="http://schemas.openxmlformats.org/drawingml/2006/chart">
          <c:chart xmlns:c="http://schemas.openxmlformats.org/drawingml/2006/chart" r:id="rId1"/>
        </a:graphicData>
      </a:graphic>
    </xdr:graphicFrame>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1047750</xdr:colOff>
      <xdr:row>15</xdr:row>
      <xdr:rowOff>0</xdr:rowOff>
    </xdr:from>
    <xdr:to>
      <xdr:col>5</xdr:col>
      <xdr:colOff>657225</xdr:colOff>
      <xdr:row>36</xdr:row>
      <xdr:rowOff>38100</xdr:rowOff>
    </xdr:to>
    <xdr:graphicFrame>
      <xdr:nvGraphicFramePr>
        <xdr:cNvPr id="1" name="2500"/>
        <xdr:cNvGraphicFramePr/>
      </xdr:nvGraphicFramePr>
      <xdr:xfrm>
        <a:off x="1162050" y="3038475"/>
        <a:ext cx="3457575" cy="34385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18</xdr:row>
      <xdr:rowOff>133350</xdr:rowOff>
    </xdr:from>
    <xdr:to>
      <xdr:col>18</xdr:col>
      <xdr:colOff>133350</xdr:colOff>
      <xdr:row>36</xdr:row>
      <xdr:rowOff>9525</xdr:rowOff>
    </xdr:to>
    <xdr:graphicFrame>
      <xdr:nvGraphicFramePr>
        <xdr:cNvPr id="1" name="Chart 2"/>
        <xdr:cNvGraphicFramePr/>
      </xdr:nvGraphicFramePr>
      <xdr:xfrm>
        <a:off x="7191375" y="3705225"/>
        <a:ext cx="7096125" cy="2790825"/>
      </xdr:xfrm>
      <a:graphic>
        <a:graphicData uri="http://schemas.openxmlformats.org/drawingml/2006/chart">
          <c:chart xmlns:c="http://schemas.openxmlformats.org/drawingml/2006/chart" r:id="rId1"/>
        </a:graphicData>
      </a:graphic>
    </xdr:graphicFrame>
    <xdr:clientData/>
  </xdr:twoCellAnchor>
  <xdr:twoCellAnchor>
    <xdr:from>
      <xdr:col>9</xdr:col>
      <xdr:colOff>19050</xdr:colOff>
      <xdr:row>38</xdr:row>
      <xdr:rowOff>38100</xdr:rowOff>
    </xdr:from>
    <xdr:to>
      <xdr:col>18</xdr:col>
      <xdr:colOff>123825</xdr:colOff>
      <xdr:row>55</xdr:row>
      <xdr:rowOff>85725</xdr:rowOff>
    </xdr:to>
    <xdr:graphicFrame>
      <xdr:nvGraphicFramePr>
        <xdr:cNvPr id="2" name="Chart 3"/>
        <xdr:cNvGraphicFramePr/>
      </xdr:nvGraphicFramePr>
      <xdr:xfrm>
        <a:off x="7172325" y="6848475"/>
        <a:ext cx="7105650" cy="2800350"/>
      </xdr:xfrm>
      <a:graphic>
        <a:graphicData uri="http://schemas.openxmlformats.org/drawingml/2006/chart">
          <c:chart xmlns:c="http://schemas.openxmlformats.org/drawingml/2006/chart" r:id="rId2"/>
        </a:graphicData>
      </a:graphic>
    </xdr:graphicFrame>
    <xdr:clientData/>
  </xdr:twoCellAnchor>
  <xdr:twoCellAnchor>
    <xdr:from>
      <xdr:col>19</xdr:col>
      <xdr:colOff>0</xdr:colOff>
      <xdr:row>22</xdr:row>
      <xdr:rowOff>85725</xdr:rowOff>
    </xdr:from>
    <xdr:to>
      <xdr:col>28</xdr:col>
      <xdr:colOff>390525</xdr:colOff>
      <xdr:row>59</xdr:row>
      <xdr:rowOff>38100</xdr:rowOff>
    </xdr:to>
    <xdr:graphicFrame>
      <xdr:nvGraphicFramePr>
        <xdr:cNvPr id="3" name="Chart 4"/>
        <xdr:cNvGraphicFramePr/>
      </xdr:nvGraphicFramePr>
      <xdr:xfrm>
        <a:off x="14744700" y="4305300"/>
        <a:ext cx="5705475" cy="5943600"/>
      </xdr:xfrm>
      <a:graphic>
        <a:graphicData uri="http://schemas.openxmlformats.org/drawingml/2006/chart">
          <c:chart xmlns:c="http://schemas.openxmlformats.org/drawingml/2006/chart" r:id="rId3"/>
        </a:graphicData>
      </a:graphic>
    </xdr:graphicFrame>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1047750</xdr:colOff>
      <xdr:row>15</xdr:row>
      <xdr:rowOff>0</xdr:rowOff>
    </xdr:from>
    <xdr:to>
      <xdr:col>5</xdr:col>
      <xdr:colOff>657225</xdr:colOff>
      <xdr:row>36</xdr:row>
      <xdr:rowOff>38100</xdr:rowOff>
    </xdr:to>
    <xdr:graphicFrame>
      <xdr:nvGraphicFramePr>
        <xdr:cNvPr id="1" name="2500"/>
        <xdr:cNvGraphicFramePr/>
      </xdr:nvGraphicFramePr>
      <xdr:xfrm>
        <a:off x="1162050" y="3038475"/>
        <a:ext cx="3457575" cy="3438525"/>
      </xdr:xfrm>
      <a:graphic>
        <a:graphicData uri="http://schemas.openxmlformats.org/drawingml/2006/chart">
          <c:chart xmlns:c="http://schemas.openxmlformats.org/drawingml/2006/chart" r:id="rId1"/>
        </a:graphicData>
      </a:graphic>
    </xdr:graphicFrame>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1047750</xdr:colOff>
      <xdr:row>15</xdr:row>
      <xdr:rowOff>0</xdr:rowOff>
    </xdr:from>
    <xdr:to>
      <xdr:col>5</xdr:col>
      <xdr:colOff>657225</xdr:colOff>
      <xdr:row>36</xdr:row>
      <xdr:rowOff>38100</xdr:rowOff>
    </xdr:to>
    <xdr:graphicFrame>
      <xdr:nvGraphicFramePr>
        <xdr:cNvPr id="1" name="2500"/>
        <xdr:cNvGraphicFramePr/>
      </xdr:nvGraphicFramePr>
      <xdr:xfrm>
        <a:off x="1162050" y="3038475"/>
        <a:ext cx="3457575" cy="3438525"/>
      </xdr:xfrm>
      <a:graphic>
        <a:graphicData uri="http://schemas.openxmlformats.org/drawingml/2006/chart">
          <c:chart xmlns:c="http://schemas.openxmlformats.org/drawingml/2006/chart" r:id="rId1"/>
        </a:graphicData>
      </a:graphic>
    </xdr:graphicFrame>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1047750</xdr:colOff>
      <xdr:row>15</xdr:row>
      <xdr:rowOff>0</xdr:rowOff>
    </xdr:from>
    <xdr:to>
      <xdr:col>5</xdr:col>
      <xdr:colOff>657225</xdr:colOff>
      <xdr:row>36</xdr:row>
      <xdr:rowOff>38100</xdr:rowOff>
    </xdr:to>
    <xdr:graphicFrame>
      <xdr:nvGraphicFramePr>
        <xdr:cNvPr id="1" name="2500"/>
        <xdr:cNvGraphicFramePr/>
      </xdr:nvGraphicFramePr>
      <xdr:xfrm>
        <a:off x="1162050" y="3038475"/>
        <a:ext cx="3457575" cy="3438525"/>
      </xdr:xfrm>
      <a:graphic>
        <a:graphicData uri="http://schemas.openxmlformats.org/drawingml/2006/chart">
          <c:chart xmlns:c="http://schemas.openxmlformats.org/drawingml/2006/chart" r:id="rId1"/>
        </a:graphicData>
      </a:graphic>
    </xdr:graphicFrame>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1047750</xdr:colOff>
      <xdr:row>15</xdr:row>
      <xdr:rowOff>0</xdr:rowOff>
    </xdr:from>
    <xdr:to>
      <xdr:col>5</xdr:col>
      <xdr:colOff>657225</xdr:colOff>
      <xdr:row>36</xdr:row>
      <xdr:rowOff>38100</xdr:rowOff>
    </xdr:to>
    <xdr:graphicFrame>
      <xdr:nvGraphicFramePr>
        <xdr:cNvPr id="1" name="2500"/>
        <xdr:cNvGraphicFramePr/>
      </xdr:nvGraphicFramePr>
      <xdr:xfrm>
        <a:off x="1162050" y="3038475"/>
        <a:ext cx="3457575" cy="3438525"/>
      </xdr:xfrm>
      <a:graphic>
        <a:graphicData uri="http://schemas.openxmlformats.org/drawingml/2006/chart">
          <c:chart xmlns:c="http://schemas.openxmlformats.org/drawingml/2006/chart" r:id="rId1"/>
        </a:graphicData>
      </a:graphic>
    </xdr:graphicFrame>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1047750</xdr:colOff>
      <xdr:row>15</xdr:row>
      <xdr:rowOff>0</xdr:rowOff>
    </xdr:from>
    <xdr:to>
      <xdr:col>5</xdr:col>
      <xdr:colOff>657225</xdr:colOff>
      <xdr:row>36</xdr:row>
      <xdr:rowOff>38100</xdr:rowOff>
    </xdr:to>
    <xdr:graphicFrame>
      <xdr:nvGraphicFramePr>
        <xdr:cNvPr id="1" name="2500"/>
        <xdr:cNvGraphicFramePr/>
      </xdr:nvGraphicFramePr>
      <xdr:xfrm>
        <a:off x="1162050" y="3038475"/>
        <a:ext cx="3457575" cy="3438525"/>
      </xdr:xfrm>
      <a:graphic>
        <a:graphicData uri="http://schemas.openxmlformats.org/drawingml/2006/chart">
          <c:chart xmlns:c="http://schemas.openxmlformats.org/drawingml/2006/chart" r:id="rId1"/>
        </a:graphicData>
      </a:graphic>
    </xdr:graphicFrame>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1047750</xdr:colOff>
      <xdr:row>15</xdr:row>
      <xdr:rowOff>0</xdr:rowOff>
    </xdr:from>
    <xdr:to>
      <xdr:col>5</xdr:col>
      <xdr:colOff>657225</xdr:colOff>
      <xdr:row>36</xdr:row>
      <xdr:rowOff>38100</xdr:rowOff>
    </xdr:to>
    <xdr:graphicFrame>
      <xdr:nvGraphicFramePr>
        <xdr:cNvPr id="1" name="2500"/>
        <xdr:cNvGraphicFramePr/>
      </xdr:nvGraphicFramePr>
      <xdr:xfrm>
        <a:off x="1162050" y="3038475"/>
        <a:ext cx="3457575" cy="3438525"/>
      </xdr:xfrm>
      <a:graphic>
        <a:graphicData uri="http://schemas.openxmlformats.org/drawingml/2006/chart">
          <c:chart xmlns:c="http://schemas.openxmlformats.org/drawingml/2006/chart" r:id="rId1"/>
        </a:graphicData>
      </a:graphic>
    </xdr:graphicFrame>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1047750</xdr:colOff>
      <xdr:row>15</xdr:row>
      <xdr:rowOff>0</xdr:rowOff>
    </xdr:from>
    <xdr:to>
      <xdr:col>5</xdr:col>
      <xdr:colOff>657225</xdr:colOff>
      <xdr:row>36</xdr:row>
      <xdr:rowOff>38100</xdr:rowOff>
    </xdr:to>
    <xdr:graphicFrame>
      <xdr:nvGraphicFramePr>
        <xdr:cNvPr id="1" name="2500"/>
        <xdr:cNvGraphicFramePr/>
      </xdr:nvGraphicFramePr>
      <xdr:xfrm>
        <a:off x="1162050" y="3038475"/>
        <a:ext cx="3457575" cy="3438525"/>
      </xdr:xfrm>
      <a:graphic>
        <a:graphicData uri="http://schemas.openxmlformats.org/drawingml/2006/chart">
          <c:chart xmlns:c="http://schemas.openxmlformats.org/drawingml/2006/chart" r:id="rId1"/>
        </a:graphicData>
      </a:graphic>
    </xdr:graphicFrame>
    <xdr:clientData/>
  </xdr:twoCellAnchor>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1047750</xdr:colOff>
      <xdr:row>15</xdr:row>
      <xdr:rowOff>0</xdr:rowOff>
    </xdr:from>
    <xdr:to>
      <xdr:col>5</xdr:col>
      <xdr:colOff>657225</xdr:colOff>
      <xdr:row>36</xdr:row>
      <xdr:rowOff>38100</xdr:rowOff>
    </xdr:to>
    <xdr:graphicFrame>
      <xdr:nvGraphicFramePr>
        <xdr:cNvPr id="1" name="2500"/>
        <xdr:cNvGraphicFramePr/>
      </xdr:nvGraphicFramePr>
      <xdr:xfrm>
        <a:off x="1162050" y="3038475"/>
        <a:ext cx="3457575" cy="3438525"/>
      </xdr:xfrm>
      <a:graphic>
        <a:graphicData uri="http://schemas.openxmlformats.org/drawingml/2006/chart">
          <c:chart xmlns:c="http://schemas.openxmlformats.org/drawingml/2006/chart" r:id="rId1"/>
        </a:graphicData>
      </a:graphic>
    </xdr:graphicFrame>
    <xdr:clientData/>
  </xdr:twoCellAnchor>
</xdr:wsDr>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1047750</xdr:colOff>
      <xdr:row>15</xdr:row>
      <xdr:rowOff>0</xdr:rowOff>
    </xdr:from>
    <xdr:to>
      <xdr:col>5</xdr:col>
      <xdr:colOff>657225</xdr:colOff>
      <xdr:row>36</xdr:row>
      <xdr:rowOff>38100</xdr:rowOff>
    </xdr:to>
    <xdr:graphicFrame>
      <xdr:nvGraphicFramePr>
        <xdr:cNvPr id="1" name="2500"/>
        <xdr:cNvGraphicFramePr/>
      </xdr:nvGraphicFramePr>
      <xdr:xfrm>
        <a:off x="1162050" y="3038475"/>
        <a:ext cx="3457575" cy="3438525"/>
      </xdr:xfrm>
      <a:graphic>
        <a:graphicData uri="http://schemas.openxmlformats.org/drawingml/2006/chart">
          <c:chart xmlns:c="http://schemas.openxmlformats.org/drawingml/2006/chart" r:id="rId1"/>
        </a:graphicData>
      </a:graphic>
    </xdr:graphicFrame>
    <xdr:clientData/>
  </xdr:twoCellAnchor>
</xdr:wsDr>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1047750</xdr:colOff>
      <xdr:row>15</xdr:row>
      <xdr:rowOff>0</xdr:rowOff>
    </xdr:from>
    <xdr:to>
      <xdr:col>5</xdr:col>
      <xdr:colOff>657225</xdr:colOff>
      <xdr:row>36</xdr:row>
      <xdr:rowOff>38100</xdr:rowOff>
    </xdr:to>
    <xdr:graphicFrame>
      <xdr:nvGraphicFramePr>
        <xdr:cNvPr id="1" name="2500"/>
        <xdr:cNvGraphicFramePr/>
      </xdr:nvGraphicFramePr>
      <xdr:xfrm>
        <a:off x="1162050" y="3038475"/>
        <a:ext cx="3457575" cy="34385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352425</xdr:colOff>
      <xdr:row>24</xdr:row>
      <xdr:rowOff>28575</xdr:rowOff>
    </xdr:from>
    <xdr:to>
      <xdr:col>17</xdr:col>
      <xdr:colOff>9525</xdr:colOff>
      <xdr:row>42</xdr:row>
      <xdr:rowOff>85725</xdr:rowOff>
    </xdr:to>
    <xdr:graphicFrame>
      <xdr:nvGraphicFramePr>
        <xdr:cNvPr id="1" name="Chart 2"/>
        <xdr:cNvGraphicFramePr/>
      </xdr:nvGraphicFramePr>
      <xdr:xfrm>
        <a:off x="5267325" y="4562475"/>
        <a:ext cx="6419850" cy="2971800"/>
      </xdr:xfrm>
      <a:graphic>
        <a:graphicData uri="http://schemas.openxmlformats.org/drawingml/2006/chart">
          <c:chart xmlns:c="http://schemas.openxmlformats.org/drawingml/2006/chart" r:id="rId1"/>
        </a:graphicData>
      </a:graphic>
    </xdr:graphicFrame>
    <xdr:clientData/>
  </xdr:twoCellAnchor>
  <xdr:twoCellAnchor>
    <xdr:from>
      <xdr:col>16</xdr:col>
      <xdr:colOff>342900</xdr:colOff>
      <xdr:row>25</xdr:row>
      <xdr:rowOff>85725</xdr:rowOff>
    </xdr:from>
    <xdr:to>
      <xdr:col>26</xdr:col>
      <xdr:colOff>133350</xdr:colOff>
      <xdr:row>43</xdr:row>
      <xdr:rowOff>133350</xdr:rowOff>
    </xdr:to>
    <xdr:graphicFrame>
      <xdr:nvGraphicFramePr>
        <xdr:cNvPr id="2" name="Chart 3"/>
        <xdr:cNvGraphicFramePr/>
      </xdr:nvGraphicFramePr>
      <xdr:xfrm>
        <a:off x="11430000" y="4781550"/>
        <a:ext cx="5695950" cy="29622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238125</xdr:colOff>
      <xdr:row>31</xdr:row>
      <xdr:rowOff>104775</xdr:rowOff>
    </xdr:from>
    <xdr:to>
      <xdr:col>22</xdr:col>
      <xdr:colOff>133350</xdr:colOff>
      <xdr:row>81</xdr:row>
      <xdr:rowOff>57150</xdr:rowOff>
    </xdr:to>
    <xdr:graphicFrame>
      <xdr:nvGraphicFramePr>
        <xdr:cNvPr id="1" name="Chart 1"/>
        <xdr:cNvGraphicFramePr/>
      </xdr:nvGraphicFramePr>
      <xdr:xfrm>
        <a:off x="11763375" y="5772150"/>
        <a:ext cx="3438525" cy="8048625"/>
      </xdr:xfrm>
      <a:graphic>
        <a:graphicData uri="http://schemas.openxmlformats.org/drawingml/2006/chart">
          <c:chart xmlns:c="http://schemas.openxmlformats.org/drawingml/2006/chart" r:id="rId1"/>
        </a:graphicData>
      </a:graphic>
    </xdr:graphicFrame>
    <xdr:clientData/>
  </xdr:twoCellAnchor>
  <xdr:twoCellAnchor>
    <xdr:from>
      <xdr:col>23</xdr:col>
      <xdr:colOff>66675</xdr:colOff>
      <xdr:row>30</xdr:row>
      <xdr:rowOff>57150</xdr:rowOff>
    </xdr:from>
    <xdr:to>
      <xdr:col>31</xdr:col>
      <xdr:colOff>314325</xdr:colOff>
      <xdr:row>81</xdr:row>
      <xdr:rowOff>123825</xdr:rowOff>
    </xdr:to>
    <xdr:graphicFrame>
      <xdr:nvGraphicFramePr>
        <xdr:cNvPr id="2" name="Chart 2"/>
        <xdr:cNvGraphicFramePr/>
      </xdr:nvGraphicFramePr>
      <xdr:xfrm>
        <a:off x="15725775" y="5562600"/>
        <a:ext cx="4972050" cy="83248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209550</xdr:colOff>
      <xdr:row>70</xdr:row>
      <xdr:rowOff>104775</xdr:rowOff>
    </xdr:from>
    <xdr:to>
      <xdr:col>39</xdr:col>
      <xdr:colOff>9525</xdr:colOff>
      <xdr:row>88</xdr:row>
      <xdr:rowOff>152400</xdr:rowOff>
    </xdr:to>
    <xdr:graphicFrame>
      <xdr:nvGraphicFramePr>
        <xdr:cNvPr id="1" name="Chart 3"/>
        <xdr:cNvGraphicFramePr/>
      </xdr:nvGraphicFramePr>
      <xdr:xfrm>
        <a:off x="20212050" y="11820525"/>
        <a:ext cx="5705475" cy="2962275"/>
      </xdr:xfrm>
      <a:graphic>
        <a:graphicData uri="http://schemas.openxmlformats.org/drawingml/2006/chart">
          <c:chart xmlns:c="http://schemas.openxmlformats.org/drawingml/2006/chart" r:id="rId1"/>
        </a:graphicData>
      </a:graphic>
    </xdr:graphicFrame>
    <xdr:clientData/>
  </xdr:twoCellAnchor>
  <xdr:twoCellAnchor>
    <xdr:from>
      <xdr:col>39</xdr:col>
      <xdr:colOff>333375</xdr:colOff>
      <xdr:row>35</xdr:row>
      <xdr:rowOff>57150</xdr:rowOff>
    </xdr:from>
    <xdr:to>
      <xdr:col>47</xdr:col>
      <xdr:colOff>533400</xdr:colOff>
      <xdr:row>50</xdr:row>
      <xdr:rowOff>123825</xdr:rowOff>
    </xdr:to>
    <xdr:graphicFrame>
      <xdr:nvGraphicFramePr>
        <xdr:cNvPr id="2" name="Chart 5"/>
        <xdr:cNvGraphicFramePr/>
      </xdr:nvGraphicFramePr>
      <xdr:xfrm>
        <a:off x="26241375" y="6105525"/>
        <a:ext cx="4924425" cy="2495550"/>
      </xdr:xfrm>
      <a:graphic>
        <a:graphicData uri="http://schemas.openxmlformats.org/drawingml/2006/chart">
          <c:chart xmlns:c="http://schemas.openxmlformats.org/drawingml/2006/chart" r:id="rId2"/>
        </a:graphicData>
      </a:graphic>
    </xdr:graphicFrame>
    <xdr:clientData/>
  </xdr:twoCellAnchor>
  <xdr:twoCellAnchor>
    <xdr:from>
      <xdr:col>30</xdr:col>
      <xdr:colOff>47625</xdr:colOff>
      <xdr:row>35</xdr:row>
      <xdr:rowOff>66675</xdr:rowOff>
    </xdr:from>
    <xdr:to>
      <xdr:col>38</xdr:col>
      <xdr:colOff>247650</xdr:colOff>
      <xdr:row>50</xdr:row>
      <xdr:rowOff>152400</xdr:rowOff>
    </xdr:to>
    <xdr:graphicFrame>
      <xdr:nvGraphicFramePr>
        <xdr:cNvPr id="3" name="Chart 6"/>
        <xdr:cNvGraphicFramePr/>
      </xdr:nvGraphicFramePr>
      <xdr:xfrm>
        <a:off x="20640675" y="6115050"/>
        <a:ext cx="4924425" cy="2514600"/>
      </xdr:xfrm>
      <a:graphic>
        <a:graphicData uri="http://schemas.openxmlformats.org/drawingml/2006/chart">
          <c:chart xmlns:c="http://schemas.openxmlformats.org/drawingml/2006/chart" r:id="rId3"/>
        </a:graphicData>
      </a:graphic>
    </xdr:graphicFrame>
    <xdr:clientData/>
  </xdr:twoCellAnchor>
  <xdr:twoCellAnchor>
    <xdr:from>
      <xdr:col>39</xdr:col>
      <xdr:colOff>514350</xdr:colOff>
      <xdr:row>66</xdr:row>
      <xdr:rowOff>152400</xdr:rowOff>
    </xdr:from>
    <xdr:to>
      <xdr:col>48</xdr:col>
      <xdr:colOff>133350</xdr:colOff>
      <xdr:row>82</xdr:row>
      <xdr:rowOff>57150</xdr:rowOff>
    </xdr:to>
    <xdr:graphicFrame>
      <xdr:nvGraphicFramePr>
        <xdr:cNvPr id="4" name="Chart 7"/>
        <xdr:cNvGraphicFramePr/>
      </xdr:nvGraphicFramePr>
      <xdr:xfrm>
        <a:off x="26422350" y="11220450"/>
        <a:ext cx="4933950" cy="2495550"/>
      </xdr:xfrm>
      <a:graphic>
        <a:graphicData uri="http://schemas.openxmlformats.org/drawingml/2006/chart">
          <c:chart xmlns:c="http://schemas.openxmlformats.org/drawingml/2006/chart" r:id="rId4"/>
        </a:graphicData>
      </a:graphic>
    </xdr:graphicFrame>
    <xdr:clientData/>
  </xdr:twoCellAnchor>
  <xdr:twoCellAnchor>
    <xdr:from>
      <xdr:col>48</xdr:col>
      <xdr:colOff>581025</xdr:colOff>
      <xdr:row>30</xdr:row>
      <xdr:rowOff>85725</xdr:rowOff>
    </xdr:from>
    <xdr:to>
      <xdr:col>57</xdr:col>
      <xdr:colOff>190500</xdr:colOff>
      <xdr:row>46</xdr:row>
      <xdr:rowOff>9525</xdr:rowOff>
    </xdr:to>
    <xdr:graphicFrame>
      <xdr:nvGraphicFramePr>
        <xdr:cNvPr id="5" name="Chart 8"/>
        <xdr:cNvGraphicFramePr/>
      </xdr:nvGraphicFramePr>
      <xdr:xfrm>
        <a:off x="31803975" y="5324475"/>
        <a:ext cx="4924425" cy="2514600"/>
      </xdr:xfrm>
      <a:graphic>
        <a:graphicData uri="http://schemas.openxmlformats.org/drawingml/2006/chart">
          <c:chart xmlns:c="http://schemas.openxmlformats.org/drawingml/2006/chart" r:id="rId5"/>
        </a:graphicData>
      </a:graphic>
    </xdr:graphicFrame>
    <xdr:clientData/>
  </xdr:twoCellAnchor>
  <xdr:twoCellAnchor>
    <xdr:from>
      <xdr:col>39</xdr:col>
      <xdr:colOff>114300</xdr:colOff>
      <xdr:row>54</xdr:row>
      <xdr:rowOff>57150</xdr:rowOff>
    </xdr:from>
    <xdr:to>
      <xdr:col>47</xdr:col>
      <xdr:colOff>314325</xdr:colOff>
      <xdr:row>69</xdr:row>
      <xdr:rowOff>123825</xdr:rowOff>
    </xdr:to>
    <xdr:graphicFrame>
      <xdr:nvGraphicFramePr>
        <xdr:cNvPr id="6" name="Chart 9"/>
        <xdr:cNvGraphicFramePr/>
      </xdr:nvGraphicFramePr>
      <xdr:xfrm>
        <a:off x="26022300" y="9182100"/>
        <a:ext cx="4924425" cy="2495550"/>
      </xdr:xfrm>
      <a:graphic>
        <a:graphicData uri="http://schemas.openxmlformats.org/drawingml/2006/chart">
          <c:chart xmlns:c="http://schemas.openxmlformats.org/drawingml/2006/chart" r:id="rId6"/>
        </a:graphicData>
      </a:graphic>
    </xdr:graphicFrame>
    <xdr:clientData/>
  </xdr:twoCellAnchor>
  <xdr:twoCellAnchor>
    <xdr:from>
      <xdr:col>58</xdr:col>
      <xdr:colOff>133350</xdr:colOff>
      <xdr:row>30</xdr:row>
      <xdr:rowOff>152400</xdr:rowOff>
    </xdr:from>
    <xdr:to>
      <xdr:col>66</xdr:col>
      <xdr:colOff>342900</xdr:colOff>
      <xdr:row>46</xdr:row>
      <xdr:rowOff>66675</xdr:rowOff>
    </xdr:to>
    <xdr:graphicFrame>
      <xdr:nvGraphicFramePr>
        <xdr:cNvPr id="7" name="Chart 10"/>
        <xdr:cNvGraphicFramePr/>
      </xdr:nvGraphicFramePr>
      <xdr:xfrm>
        <a:off x="37261800" y="5391150"/>
        <a:ext cx="4933950" cy="2505075"/>
      </xdr:xfrm>
      <a:graphic>
        <a:graphicData uri="http://schemas.openxmlformats.org/drawingml/2006/chart">
          <c:chart xmlns:c="http://schemas.openxmlformats.org/drawingml/2006/chart" r:id="rId7"/>
        </a:graphicData>
      </a:graphic>
    </xdr:graphicFrame>
    <xdr:clientData/>
  </xdr:twoCellAnchor>
  <xdr:twoCellAnchor>
    <xdr:from>
      <xdr:col>17</xdr:col>
      <xdr:colOff>457200</xdr:colOff>
      <xdr:row>34</xdr:row>
      <xdr:rowOff>19050</xdr:rowOff>
    </xdr:from>
    <xdr:to>
      <xdr:col>26</xdr:col>
      <xdr:colOff>276225</xdr:colOff>
      <xdr:row>49</xdr:row>
      <xdr:rowOff>95250</xdr:rowOff>
    </xdr:to>
    <xdr:graphicFrame>
      <xdr:nvGraphicFramePr>
        <xdr:cNvPr id="8" name="Chart 13"/>
        <xdr:cNvGraphicFramePr/>
      </xdr:nvGraphicFramePr>
      <xdr:xfrm>
        <a:off x="13373100" y="5905500"/>
        <a:ext cx="5133975" cy="2505075"/>
      </xdr:xfrm>
      <a:graphic>
        <a:graphicData uri="http://schemas.openxmlformats.org/drawingml/2006/chart">
          <c:chart xmlns:c="http://schemas.openxmlformats.org/drawingml/2006/chart" r:id="rId8"/>
        </a:graphicData>
      </a:graphic>
    </xdr:graphicFrame>
    <xdr:clientData/>
  </xdr:twoCellAnchor>
  <xdr:twoCellAnchor>
    <xdr:from>
      <xdr:col>17</xdr:col>
      <xdr:colOff>438150</xdr:colOff>
      <xdr:row>52</xdr:row>
      <xdr:rowOff>95250</xdr:rowOff>
    </xdr:from>
    <xdr:to>
      <xdr:col>26</xdr:col>
      <xdr:colOff>257175</xdr:colOff>
      <xdr:row>68</xdr:row>
      <xdr:rowOff>9525</xdr:rowOff>
    </xdr:to>
    <xdr:graphicFrame>
      <xdr:nvGraphicFramePr>
        <xdr:cNvPr id="9" name="Chart 14"/>
        <xdr:cNvGraphicFramePr/>
      </xdr:nvGraphicFramePr>
      <xdr:xfrm>
        <a:off x="13354050" y="8896350"/>
        <a:ext cx="5133975" cy="2505075"/>
      </xdr:xfrm>
      <a:graphic>
        <a:graphicData uri="http://schemas.openxmlformats.org/drawingml/2006/chart">
          <c:chart xmlns:c="http://schemas.openxmlformats.org/drawingml/2006/chart" r:id="rId9"/>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xdr:colOff>
      <xdr:row>23</xdr:row>
      <xdr:rowOff>85725</xdr:rowOff>
    </xdr:from>
    <xdr:to>
      <xdr:col>17</xdr:col>
      <xdr:colOff>447675</xdr:colOff>
      <xdr:row>40</xdr:row>
      <xdr:rowOff>9525</xdr:rowOff>
    </xdr:to>
    <xdr:graphicFrame>
      <xdr:nvGraphicFramePr>
        <xdr:cNvPr id="1" name="Chart 1"/>
        <xdr:cNvGraphicFramePr/>
      </xdr:nvGraphicFramePr>
      <xdr:xfrm>
        <a:off x="8429625" y="4457700"/>
        <a:ext cx="5153025" cy="2676525"/>
      </xdr:xfrm>
      <a:graphic>
        <a:graphicData uri="http://schemas.openxmlformats.org/drawingml/2006/chart">
          <c:chart xmlns:c="http://schemas.openxmlformats.org/drawingml/2006/chart" r:id="rId1"/>
        </a:graphicData>
      </a:graphic>
    </xdr:graphicFrame>
    <xdr:clientData/>
  </xdr:twoCellAnchor>
  <xdr:twoCellAnchor>
    <xdr:from>
      <xdr:col>9</xdr:col>
      <xdr:colOff>19050</xdr:colOff>
      <xdr:row>42</xdr:row>
      <xdr:rowOff>0</xdr:rowOff>
    </xdr:from>
    <xdr:to>
      <xdr:col>16</xdr:col>
      <xdr:colOff>400050</xdr:colOff>
      <xdr:row>58</xdr:row>
      <xdr:rowOff>85725</xdr:rowOff>
    </xdr:to>
    <xdr:graphicFrame>
      <xdr:nvGraphicFramePr>
        <xdr:cNvPr id="2" name="Chart 2"/>
        <xdr:cNvGraphicFramePr/>
      </xdr:nvGraphicFramePr>
      <xdr:xfrm>
        <a:off x="7791450" y="7448550"/>
        <a:ext cx="5153025" cy="2676525"/>
      </xdr:xfrm>
      <a:graphic>
        <a:graphicData uri="http://schemas.openxmlformats.org/drawingml/2006/chart">
          <c:chart xmlns:c="http://schemas.openxmlformats.org/drawingml/2006/chart" r:id="rId2"/>
        </a:graphicData>
      </a:graphic>
    </xdr:graphicFrame>
    <xdr:clientData/>
  </xdr:twoCellAnchor>
  <xdr:twoCellAnchor>
    <xdr:from>
      <xdr:col>19</xdr:col>
      <xdr:colOff>219075</xdr:colOff>
      <xdr:row>8</xdr:row>
      <xdr:rowOff>19050</xdr:rowOff>
    </xdr:from>
    <xdr:to>
      <xdr:col>29</xdr:col>
      <xdr:colOff>200025</xdr:colOff>
      <xdr:row>26</xdr:row>
      <xdr:rowOff>66675</xdr:rowOff>
    </xdr:to>
    <xdr:graphicFrame>
      <xdr:nvGraphicFramePr>
        <xdr:cNvPr id="3" name="Chart 3"/>
        <xdr:cNvGraphicFramePr/>
      </xdr:nvGraphicFramePr>
      <xdr:xfrm>
        <a:off x="14535150" y="1962150"/>
        <a:ext cx="5886450" cy="2962275"/>
      </xdr:xfrm>
      <a:graphic>
        <a:graphicData uri="http://schemas.openxmlformats.org/drawingml/2006/chart">
          <c:chart xmlns:c="http://schemas.openxmlformats.org/drawingml/2006/chart" r:id="rId3"/>
        </a:graphicData>
      </a:graphic>
    </xdr:graphicFrame>
    <xdr:clientData/>
  </xdr:twoCellAnchor>
  <xdr:twoCellAnchor>
    <xdr:from>
      <xdr:col>2</xdr:col>
      <xdr:colOff>981075</xdr:colOff>
      <xdr:row>31</xdr:row>
      <xdr:rowOff>0</xdr:rowOff>
    </xdr:from>
    <xdr:to>
      <xdr:col>9</xdr:col>
      <xdr:colOff>276225</xdr:colOff>
      <xdr:row>49</xdr:row>
      <xdr:rowOff>47625</xdr:rowOff>
    </xdr:to>
    <xdr:graphicFrame>
      <xdr:nvGraphicFramePr>
        <xdr:cNvPr id="4" name="Chart 4"/>
        <xdr:cNvGraphicFramePr/>
      </xdr:nvGraphicFramePr>
      <xdr:xfrm>
        <a:off x="2162175" y="5667375"/>
        <a:ext cx="5886450" cy="2962275"/>
      </xdr:xfrm>
      <a:graphic>
        <a:graphicData uri="http://schemas.openxmlformats.org/drawingml/2006/chart">
          <c:chart xmlns:c="http://schemas.openxmlformats.org/drawingml/2006/chart" r:id="rId4"/>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704850</xdr:colOff>
      <xdr:row>19</xdr:row>
      <xdr:rowOff>95250</xdr:rowOff>
    </xdr:from>
    <xdr:to>
      <xdr:col>22</xdr:col>
      <xdr:colOff>466725</xdr:colOff>
      <xdr:row>37</xdr:row>
      <xdr:rowOff>152400</xdr:rowOff>
    </xdr:to>
    <xdr:graphicFrame>
      <xdr:nvGraphicFramePr>
        <xdr:cNvPr id="1" name="Chart 1"/>
        <xdr:cNvGraphicFramePr/>
      </xdr:nvGraphicFramePr>
      <xdr:xfrm>
        <a:off x="9763125" y="3829050"/>
        <a:ext cx="5715000" cy="2971800"/>
      </xdr:xfrm>
      <a:graphic>
        <a:graphicData uri="http://schemas.openxmlformats.org/drawingml/2006/chart">
          <c:chart xmlns:c="http://schemas.openxmlformats.org/drawingml/2006/chart" r:id="rId1"/>
        </a:graphicData>
      </a:graphic>
    </xdr:graphicFrame>
    <xdr:clientData/>
  </xdr:twoCellAnchor>
  <xdr:twoCellAnchor>
    <xdr:from>
      <xdr:col>23</xdr:col>
      <xdr:colOff>171450</xdr:colOff>
      <xdr:row>19</xdr:row>
      <xdr:rowOff>133350</xdr:rowOff>
    </xdr:from>
    <xdr:to>
      <xdr:col>32</xdr:col>
      <xdr:colOff>552450</xdr:colOff>
      <xdr:row>38</xdr:row>
      <xdr:rowOff>9525</xdr:rowOff>
    </xdr:to>
    <xdr:graphicFrame>
      <xdr:nvGraphicFramePr>
        <xdr:cNvPr id="2" name="Chart 2"/>
        <xdr:cNvGraphicFramePr/>
      </xdr:nvGraphicFramePr>
      <xdr:xfrm>
        <a:off x="15773400" y="3867150"/>
        <a:ext cx="5695950" cy="2952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hyperlink" Target="mailto:EE@%202-hydroxylation%20(pmol/min/mg%20protein)" TargetMode="External" /><Relationship Id="rId2" Type="http://schemas.openxmlformats.org/officeDocument/2006/relationships/drawing" Target="../drawings/drawing21.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6.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7.xml"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8.xml"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39.xml"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0.xml"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1.xml"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42.xml"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3.xml"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4.xml"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45.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46.xml"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47.xml" /></Relationships>
</file>

<file path=xl/worksheets/_rels/sheet52.xml.rels><?xml version="1.0" encoding="utf-8" standalone="yes"?><Relationships xmlns="http://schemas.openxmlformats.org/package/2006/relationships"><Relationship Id="rId1" Type="http://schemas.openxmlformats.org/officeDocument/2006/relationships/drawing" Target="../drawings/drawing48.xml"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49.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CB252"/>
  <sheetViews>
    <sheetView workbookViewId="0" topLeftCell="G1">
      <selection activeCell="K2" sqref="K2:K7"/>
    </sheetView>
  </sheetViews>
  <sheetFormatPr defaultColWidth="9.140625" defaultRowHeight="12.75"/>
  <cols>
    <col min="7" max="7" width="12.421875" style="0" customWidth="1"/>
    <col min="11" max="11" width="12.8515625" style="0" customWidth="1"/>
    <col min="17" max="17" width="11.57421875" style="0" customWidth="1"/>
    <col min="18" max="18" width="13.7109375" style="0" customWidth="1"/>
  </cols>
  <sheetData>
    <row r="1" spans="1:22" ht="63.75">
      <c r="A1" s="74" t="s">
        <v>57</v>
      </c>
      <c r="B1" s="74" t="s">
        <v>58</v>
      </c>
      <c r="C1" s="74" t="s">
        <v>414</v>
      </c>
      <c r="D1" s="18" t="s">
        <v>416</v>
      </c>
      <c r="E1" s="18" t="s">
        <v>417</v>
      </c>
      <c r="F1" s="74" t="s">
        <v>60</v>
      </c>
      <c r="G1" s="74" t="s">
        <v>92</v>
      </c>
      <c r="H1" s="74" t="s">
        <v>61</v>
      </c>
      <c r="I1" s="74" t="s">
        <v>461</v>
      </c>
      <c r="J1" s="74" t="s">
        <v>62</v>
      </c>
      <c r="K1" s="74" t="s">
        <v>419</v>
      </c>
      <c r="L1" s="74" t="s">
        <v>63</v>
      </c>
      <c r="M1" s="125" t="s">
        <v>420</v>
      </c>
      <c r="N1" s="75" t="s">
        <v>138</v>
      </c>
      <c r="O1" s="76" t="s">
        <v>421</v>
      </c>
      <c r="P1" s="76" t="s">
        <v>422</v>
      </c>
      <c r="Q1" s="74" t="s">
        <v>1126</v>
      </c>
      <c r="R1" s="74" t="s">
        <v>1127</v>
      </c>
      <c r="S1" s="74" t="s">
        <v>336</v>
      </c>
      <c r="T1" s="74" t="s">
        <v>337</v>
      </c>
      <c r="U1" s="74" t="s">
        <v>539</v>
      </c>
      <c r="V1" s="74" t="s">
        <v>423</v>
      </c>
    </row>
    <row r="2" spans="1:22" ht="12.75">
      <c r="A2" t="s">
        <v>330</v>
      </c>
      <c r="C2">
        <v>1997</v>
      </c>
      <c r="D2" t="s">
        <v>331</v>
      </c>
      <c r="E2" t="s">
        <v>332</v>
      </c>
      <c r="F2" t="s">
        <v>333</v>
      </c>
      <c r="G2" t="s">
        <v>441</v>
      </c>
      <c r="H2" t="s">
        <v>102</v>
      </c>
      <c r="J2" t="s">
        <v>94</v>
      </c>
      <c r="K2" t="s">
        <v>971</v>
      </c>
      <c r="L2" t="s">
        <v>334</v>
      </c>
      <c r="M2" s="126">
        <v>0.19511355708309333</v>
      </c>
      <c r="N2">
        <v>0.45780794102320066</v>
      </c>
      <c r="O2">
        <f aca="true" t="shared" si="0" ref="O2:P7">M2^2</f>
        <v>0.03806930015761752</v>
      </c>
      <c r="P2">
        <f t="shared" si="0"/>
        <v>0.20958811086390236</v>
      </c>
      <c r="R2" t="s">
        <v>797</v>
      </c>
      <c r="U2">
        <v>23</v>
      </c>
      <c r="V2">
        <v>22</v>
      </c>
    </row>
    <row r="3" spans="1:22" ht="12.75">
      <c r="A3" t="s">
        <v>330</v>
      </c>
      <c r="C3">
        <v>1997</v>
      </c>
      <c r="D3" t="s">
        <v>331</v>
      </c>
      <c r="E3" t="s">
        <v>332</v>
      </c>
      <c r="F3" t="s">
        <v>333</v>
      </c>
      <c r="G3" t="s">
        <v>441</v>
      </c>
      <c r="H3" t="s">
        <v>102</v>
      </c>
      <c r="J3" t="s">
        <v>94</v>
      </c>
      <c r="K3" t="s">
        <v>970</v>
      </c>
      <c r="L3" t="s">
        <v>334</v>
      </c>
      <c r="M3" s="126">
        <v>0.2244776309024686</v>
      </c>
      <c r="N3">
        <v>0.5289203275086045</v>
      </c>
      <c r="O3">
        <f t="shared" si="0"/>
        <v>0.05039020677558493</v>
      </c>
      <c r="P3">
        <f t="shared" si="0"/>
        <v>0.2797567128518095</v>
      </c>
      <c r="R3" t="s">
        <v>797</v>
      </c>
      <c r="U3">
        <v>23</v>
      </c>
      <c r="V3">
        <v>22</v>
      </c>
    </row>
    <row r="4" spans="1:22" ht="12.75">
      <c r="A4" t="s">
        <v>330</v>
      </c>
      <c r="C4">
        <v>1997</v>
      </c>
      <c r="D4" t="s">
        <v>331</v>
      </c>
      <c r="E4" t="s">
        <v>332</v>
      </c>
      <c r="F4" t="s">
        <v>333</v>
      </c>
      <c r="G4" t="s">
        <v>441</v>
      </c>
      <c r="H4" t="s">
        <v>102</v>
      </c>
      <c r="J4" t="s">
        <v>94</v>
      </c>
      <c r="K4" t="s">
        <v>1129</v>
      </c>
      <c r="L4" t="s">
        <v>334</v>
      </c>
      <c r="M4" s="126">
        <v>0.2535802260139028</v>
      </c>
      <c r="N4">
        <v>0.5469056534478172</v>
      </c>
      <c r="O4">
        <f t="shared" si="0"/>
        <v>0.06430293102526202</v>
      </c>
      <c r="P4">
        <f t="shared" si="0"/>
        <v>0.29910579377318386</v>
      </c>
      <c r="R4" t="s">
        <v>797</v>
      </c>
      <c r="U4">
        <v>23</v>
      </c>
      <c r="V4">
        <v>22</v>
      </c>
    </row>
    <row r="5" spans="1:22" ht="12.75">
      <c r="A5" t="s">
        <v>1026</v>
      </c>
      <c r="C5">
        <v>1998</v>
      </c>
      <c r="D5" t="s">
        <v>331</v>
      </c>
      <c r="E5" t="s">
        <v>332</v>
      </c>
      <c r="F5" t="s">
        <v>1027</v>
      </c>
      <c r="H5" t="s">
        <v>299</v>
      </c>
      <c r="J5" t="s">
        <v>94</v>
      </c>
      <c r="K5" t="s">
        <v>971</v>
      </c>
      <c r="L5" t="s">
        <v>334</v>
      </c>
      <c r="M5" s="126">
        <v>0.4031781940069082</v>
      </c>
      <c r="N5">
        <v>0.7580211008178124</v>
      </c>
      <c r="O5">
        <f t="shared" si="0"/>
        <v>0.16255265612267208</v>
      </c>
      <c r="P5">
        <f t="shared" si="0"/>
        <v>0.5745959892850481</v>
      </c>
      <c r="R5" t="s">
        <v>797</v>
      </c>
      <c r="U5">
        <v>6</v>
      </c>
      <c r="V5">
        <v>5</v>
      </c>
    </row>
    <row r="6" spans="1:22" ht="12.75">
      <c r="A6" t="s">
        <v>1026</v>
      </c>
      <c r="C6">
        <v>1998</v>
      </c>
      <c r="D6" t="s">
        <v>331</v>
      </c>
      <c r="E6" t="s">
        <v>332</v>
      </c>
      <c r="F6" t="s">
        <v>1027</v>
      </c>
      <c r="H6" t="s">
        <v>299</v>
      </c>
      <c r="J6" t="s">
        <v>94</v>
      </c>
      <c r="K6" t="s">
        <v>970</v>
      </c>
      <c r="L6" t="s">
        <v>334</v>
      </c>
      <c r="M6" s="126">
        <v>0.29593748193671304</v>
      </c>
      <c r="N6">
        <v>0.8496779053435203</v>
      </c>
      <c r="O6">
        <f t="shared" si="0"/>
        <v>0.08757899321504235</v>
      </c>
      <c r="P6">
        <f t="shared" si="0"/>
        <v>0.7219525428289522</v>
      </c>
      <c r="R6" t="s">
        <v>797</v>
      </c>
      <c r="U6">
        <v>6</v>
      </c>
      <c r="V6">
        <v>5</v>
      </c>
    </row>
    <row r="7" spans="1:22" ht="12.75">
      <c r="A7" t="s">
        <v>1026</v>
      </c>
      <c r="C7">
        <v>1998</v>
      </c>
      <c r="D7" t="s">
        <v>331</v>
      </c>
      <c r="E7" t="s">
        <v>332</v>
      </c>
      <c r="F7" t="s">
        <v>1027</v>
      </c>
      <c r="H7" t="s">
        <v>299</v>
      </c>
      <c r="J7" t="s">
        <v>94</v>
      </c>
      <c r="K7" t="s">
        <v>1129</v>
      </c>
      <c r="L7" t="s">
        <v>334</v>
      </c>
      <c r="M7" s="126">
        <v>0.5429247724427667</v>
      </c>
      <c r="N7" s="13">
        <v>0.9511960778447778</v>
      </c>
      <c r="O7">
        <f t="shared" si="0"/>
        <v>0.29476730853203004</v>
      </c>
      <c r="P7">
        <f t="shared" si="0"/>
        <v>0.9047739785072886</v>
      </c>
      <c r="R7" t="s">
        <v>797</v>
      </c>
      <c r="U7">
        <v>6</v>
      </c>
      <c r="V7">
        <v>5</v>
      </c>
    </row>
    <row r="8" ht="12.75">
      <c r="N8" s="13"/>
    </row>
    <row r="9" ht="12.75">
      <c r="N9" s="13"/>
    </row>
    <row r="10" ht="12.75">
      <c r="N10" s="13"/>
    </row>
    <row r="11" ht="12.75">
      <c r="N11" s="13"/>
    </row>
    <row r="13" spans="12:25" ht="12.75">
      <c r="L13" t="s">
        <v>302</v>
      </c>
      <c r="Y13" t="s">
        <v>1026</v>
      </c>
    </row>
    <row r="14" ht="12.75">
      <c r="L14" t="s">
        <v>330</v>
      </c>
    </row>
    <row r="16" spans="42:57" ht="13.5" thickBot="1">
      <c r="AP16" t="s">
        <v>971</v>
      </c>
      <c r="AQ16" t="s">
        <v>279</v>
      </c>
      <c r="AR16" t="s">
        <v>280</v>
      </c>
      <c r="AS16" t="s">
        <v>281</v>
      </c>
      <c r="AT16" t="s">
        <v>282</v>
      </c>
      <c r="AU16" t="s">
        <v>283</v>
      </c>
      <c r="AV16" t="s">
        <v>284</v>
      </c>
      <c r="AY16" t="s">
        <v>971</v>
      </c>
      <c r="AZ16" t="s">
        <v>279</v>
      </c>
      <c r="BA16" t="s">
        <v>280</v>
      </c>
      <c r="BB16" t="s">
        <v>281</v>
      </c>
      <c r="BC16" t="s">
        <v>282</v>
      </c>
      <c r="BD16" t="s">
        <v>283</v>
      </c>
      <c r="BE16" t="s">
        <v>284</v>
      </c>
    </row>
    <row r="17" spans="1:80" s="10" customFormat="1" ht="72.75" customHeight="1" thickBot="1">
      <c r="A17" s="10" t="s">
        <v>301</v>
      </c>
      <c r="D17" s="122" t="s">
        <v>278</v>
      </c>
      <c r="E17" s="123"/>
      <c r="F17" s="123"/>
      <c r="G17" s="123"/>
      <c r="H17" s="123"/>
      <c r="I17" s="123"/>
      <c r="J17" s="124"/>
      <c r="T17" s="10" t="s">
        <v>203</v>
      </c>
      <c r="AA17" s="10" t="s">
        <v>970</v>
      </c>
      <c r="AG17" s="10" t="s">
        <v>816</v>
      </c>
      <c r="AO17" s="10" t="s">
        <v>285</v>
      </c>
      <c r="AP17" s="10" t="s">
        <v>286</v>
      </c>
      <c r="AQ17" s="10" t="s">
        <v>287</v>
      </c>
      <c r="AR17" s="10" t="s">
        <v>288</v>
      </c>
      <c r="AS17" s="10" t="s">
        <v>289</v>
      </c>
      <c r="AT17" s="10" t="s">
        <v>290</v>
      </c>
      <c r="AU17" s="10" t="s">
        <v>291</v>
      </c>
      <c r="AV17" s="10" t="s">
        <v>292</v>
      </c>
      <c r="AX17" s="10" t="s">
        <v>285</v>
      </c>
      <c r="AY17" s="10" t="s">
        <v>286</v>
      </c>
      <c r="AZ17" s="10" t="s">
        <v>287</v>
      </c>
      <c r="BA17" s="10" t="s">
        <v>288</v>
      </c>
      <c r="BB17" s="10" t="s">
        <v>289</v>
      </c>
      <c r="BC17" s="10" t="s">
        <v>290</v>
      </c>
      <c r="BD17" s="10" t="s">
        <v>291</v>
      </c>
      <c r="BE17" s="10" t="s">
        <v>292</v>
      </c>
      <c r="BH17"/>
      <c r="BI17"/>
      <c r="BJ17" s="104"/>
      <c r="BK17" s="104" t="s">
        <v>971</v>
      </c>
      <c r="BL17" s="105" t="s">
        <v>279</v>
      </c>
      <c r="BM17" s="105" t="s">
        <v>280</v>
      </c>
      <c r="BN17" s="105" t="s">
        <v>281</v>
      </c>
      <c r="BO17" s="105" t="s">
        <v>282</v>
      </c>
      <c r="BP17" s="105" t="s">
        <v>283</v>
      </c>
      <c r="BQ17" s="105" t="s">
        <v>284</v>
      </c>
      <c r="BS17"/>
      <c r="BT17"/>
      <c r="BU17" s="104"/>
      <c r="BV17" s="104" t="s">
        <v>971</v>
      </c>
      <c r="BW17" s="105" t="s">
        <v>279</v>
      </c>
      <c r="BX17" s="105" t="s">
        <v>280</v>
      </c>
      <c r="BY17" s="105" t="s">
        <v>281</v>
      </c>
      <c r="BZ17" s="105" t="s">
        <v>282</v>
      </c>
      <c r="CA17" s="105" t="s">
        <v>283</v>
      </c>
      <c r="CB17" s="105" t="s">
        <v>284</v>
      </c>
    </row>
    <row r="18" spans="4:80" ht="90.75" thickBot="1">
      <c r="D18" s="101"/>
      <c r="E18" s="102"/>
      <c r="F18" s="102"/>
      <c r="G18" s="102"/>
      <c r="H18" s="102"/>
      <c r="I18" s="102"/>
      <c r="J18" s="103"/>
      <c r="N18" t="s">
        <v>303</v>
      </c>
      <c r="O18" t="s">
        <v>304</v>
      </c>
      <c r="P18" t="s">
        <v>305</v>
      </c>
      <c r="Q18" t="s">
        <v>335</v>
      </c>
      <c r="R18" t="s">
        <v>191</v>
      </c>
      <c r="S18" t="s">
        <v>188</v>
      </c>
      <c r="T18" t="s">
        <v>328</v>
      </c>
      <c r="Y18" t="s">
        <v>303</v>
      </c>
      <c r="Z18" t="s">
        <v>971</v>
      </c>
      <c r="AA18" t="s">
        <v>1028</v>
      </c>
      <c r="AB18" t="s">
        <v>1029</v>
      </c>
      <c r="AC18" t="s">
        <v>1030</v>
      </c>
      <c r="AD18" t="s">
        <v>1031</v>
      </c>
      <c r="AE18" t="s">
        <v>1129</v>
      </c>
      <c r="AG18" t="s">
        <v>971</v>
      </c>
      <c r="AH18" t="s">
        <v>1028</v>
      </c>
      <c r="AI18" t="s">
        <v>1029</v>
      </c>
      <c r="AJ18" t="s">
        <v>1030</v>
      </c>
      <c r="AK18" t="s">
        <v>1031</v>
      </c>
      <c r="AL18" t="s">
        <v>1129</v>
      </c>
      <c r="BH18" s="106"/>
      <c r="BI18" s="106"/>
      <c r="BJ18" s="107" t="s">
        <v>285</v>
      </c>
      <c r="BK18" s="107" t="s">
        <v>286</v>
      </c>
      <c r="BL18" s="108" t="s">
        <v>287</v>
      </c>
      <c r="BM18" s="108" t="s">
        <v>288</v>
      </c>
      <c r="BN18" s="108" t="s">
        <v>289</v>
      </c>
      <c r="BO18" s="108" t="s">
        <v>290</v>
      </c>
      <c r="BP18" s="108" t="s">
        <v>291</v>
      </c>
      <c r="BQ18" s="108" t="s">
        <v>292</v>
      </c>
      <c r="BS18" s="106"/>
      <c r="BT18" s="106"/>
      <c r="BU18" s="107" t="s">
        <v>285</v>
      </c>
      <c r="BV18" s="107" t="s">
        <v>286</v>
      </c>
      <c r="BW18" s="108" t="s">
        <v>287</v>
      </c>
      <c r="BX18" s="108" t="s">
        <v>288</v>
      </c>
      <c r="BY18" s="108" t="s">
        <v>289</v>
      </c>
      <c r="BZ18" s="108" t="s">
        <v>290</v>
      </c>
      <c r="CA18" s="108" t="s">
        <v>291</v>
      </c>
      <c r="CB18" s="108" t="s">
        <v>292</v>
      </c>
    </row>
    <row r="19" spans="3:80" ht="13.5" thickBot="1">
      <c r="C19" s="104"/>
      <c r="D19" s="104" t="s">
        <v>971</v>
      </c>
      <c r="E19" s="105" t="s">
        <v>279</v>
      </c>
      <c r="F19" s="105" t="s">
        <v>280</v>
      </c>
      <c r="G19" s="105" t="s">
        <v>281</v>
      </c>
      <c r="H19" s="105" t="s">
        <v>282</v>
      </c>
      <c r="I19" s="105" t="s">
        <v>283</v>
      </c>
      <c r="J19" s="105" t="s">
        <v>284</v>
      </c>
      <c r="N19" t="s">
        <v>306</v>
      </c>
      <c r="O19">
        <v>16.1</v>
      </c>
      <c r="P19">
        <v>714</v>
      </c>
      <c r="Q19">
        <f>P19/O19</f>
        <v>44.347826086956516</v>
      </c>
      <c r="R19">
        <f>LOG(O19)</f>
        <v>1.2068258760318498</v>
      </c>
      <c r="S19">
        <f>LOG(P19)</f>
        <v>2.8536982117761744</v>
      </c>
      <c r="T19">
        <f>S19/R19</f>
        <v>2.3646312765180233</v>
      </c>
      <c r="U19" t="s">
        <v>204</v>
      </c>
      <c r="Y19">
        <v>1</v>
      </c>
      <c r="Z19">
        <v>157</v>
      </c>
      <c r="AA19">
        <v>44.46</v>
      </c>
      <c r="AB19">
        <v>4776</v>
      </c>
      <c r="AC19">
        <v>8.69</v>
      </c>
      <c r="AD19">
        <v>16.32</v>
      </c>
      <c r="AE19">
        <f aca="true" t="shared" si="1" ref="AE19:AE24">AA19/Z19</f>
        <v>0.2831847133757962</v>
      </c>
      <c r="AG19">
        <f aca="true" t="shared" si="2" ref="AG19:AL24">LOG(Z19)</f>
        <v>2.1958996524092336</v>
      </c>
      <c r="AH19">
        <f t="shared" si="2"/>
        <v>1.6479694583629718</v>
      </c>
      <c r="AI19">
        <f t="shared" si="2"/>
        <v>3.6790643181213127</v>
      </c>
      <c r="AJ19">
        <f t="shared" si="2"/>
        <v>0.9390197764486664</v>
      </c>
      <c r="AK19">
        <f t="shared" si="2"/>
        <v>1.2127201544178423</v>
      </c>
      <c r="AL19">
        <f t="shared" si="2"/>
        <v>-0.5479301940462619</v>
      </c>
      <c r="AO19" s="104">
        <v>61</v>
      </c>
      <c r="AP19" s="104">
        <v>249.57</v>
      </c>
      <c r="AQ19" s="105"/>
      <c r="AR19" s="105">
        <v>11</v>
      </c>
      <c r="AS19" s="105"/>
      <c r="AT19" s="116">
        <v>1113</v>
      </c>
      <c r="AU19" s="116"/>
      <c r="AV19" s="113"/>
      <c r="AX19" s="104">
        <v>61</v>
      </c>
      <c r="AY19">
        <f>LOG(AP19)</f>
        <v>2.3971923790171865</v>
      </c>
      <c r="BA19">
        <f>LOG(AR19)</f>
        <v>1.0413926851582251</v>
      </c>
      <c r="BC19">
        <f>LOG(AT19)</f>
        <v>3.0464951643347082</v>
      </c>
      <c r="BH19" t="s">
        <v>293</v>
      </c>
      <c r="BI19" t="s">
        <v>294</v>
      </c>
      <c r="BJ19" s="104">
        <v>1</v>
      </c>
      <c r="BK19" s="104"/>
      <c r="BL19" s="105">
        <v>2157.4</v>
      </c>
      <c r="BM19" s="105">
        <v>85.5</v>
      </c>
      <c r="BN19" s="105"/>
      <c r="BO19" s="105"/>
      <c r="BP19" s="105"/>
      <c r="BQ19" s="105"/>
      <c r="BS19" t="s">
        <v>293</v>
      </c>
      <c r="BT19" t="s">
        <v>294</v>
      </c>
      <c r="BU19" s="104">
        <v>1</v>
      </c>
      <c r="BV19" s="104"/>
      <c r="BW19" s="105">
        <f>LOG(BL19)</f>
        <v>3.3339306743966572</v>
      </c>
      <c r="BX19" s="105">
        <f>LOG(BM19)</f>
        <v>1.9319661147281726</v>
      </c>
      <c r="BY19" s="105"/>
      <c r="BZ19" s="105"/>
      <c r="CA19" s="105"/>
      <c r="CB19" s="105"/>
    </row>
    <row r="20" spans="1:80" ht="45.75" customHeight="1" thickBot="1">
      <c r="A20" s="106"/>
      <c r="B20" s="106"/>
      <c r="C20" s="107" t="s">
        <v>285</v>
      </c>
      <c r="D20" s="107" t="s">
        <v>286</v>
      </c>
      <c r="E20" s="108" t="s">
        <v>287</v>
      </c>
      <c r="F20" s="108" t="s">
        <v>288</v>
      </c>
      <c r="G20" s="108" t="s">
        <v>289</v>
      </c>
      <c r="H20" s="108" t="s">
        <v>290</v>
      </c>
      <c r="I20" s="108" t="s">
        <v>291</v>
      </c>
      <c r="J20" s="108" t="s">
        <v>292</v>
      </c>
      <c r="N20" t="s">
        <v>307</v>
      </c>
      <c r="O20">
        <v>15.2</v>
      </c>
      <c r="P20">
        <v>909</v>
      </c>
      <c r="Q20">
        <f aca="true" t="shared" si="3" ref="Q20:Q41">P20/O20</f>
        <v>59.80263157894737</v>
      </c>
      <c r="R20">
        <f aca="true" t="shared" si="4" ref="R20:R41">LOG(O20)</f>
        <v>1.1818435879447726</v>
      </c>
      <c r="S20">
        <f aca="true" t="shared" si="5" ref="S20:S41">LOG(P20)</f>
        <v>2.9585638832219674</v>
      </c>
      <c r="T20">
        <f aca="true" t="shared" si="6" ref="T20:T41">S20/R20</f>
        <v>2.5033463932117392</v>
      </c>
      <c r="Y20">
        <v>2</v>
      </c>
      <c r="Z20">
        <v>510</v>
      </c>
      <c r="AA20">
        <v>11.03</v>
      </c>
      <c r="AB20">
        <v>1277</v>
      </c>
      <c r="AC20">
        <v>2.33</v>
      </c>
      <c r="AD20">
        <v>4.37</v>
      </c>
      <c r="AE20">
        <f t="shared" si="1"/>
        <v>0.021627450980392156</v>
      </c>
      <c r="AG20">
        <f t="shared" si="2"/>
        <v>2.7075701760979363</v>
      </c>
      <c r="AH20">
        <f t="shared" si="2"/>
        <v>1.0425755124401905</v>
      </c>
      <c r="AI20">
        <f t="shared" si="2"/>
        <v>3.1061908972634154</v>
      </c>
      <c r="AJ20">
        <f t="shared" si="2"/>
        <v>0.367355921026019</v>
      </c>
      <c r="AK20">
        <f t="shared" si="2"/>
        <v>0.6404814369704218</v>
      </c>
      <c r="AL20">
        <f t="shared" si="2"/>
        <v>-1.6649946636577457</v>
      </c>
      <c r="AO20" s="109">
        <v>62</v>
      </c>
      <c r="AP20" s="109">
        <v>187.53</v>
      </c>
      <c r="AQ20" s="110"/>
      <c r="AR20" s="110">
        <v>64</v>
      </c>
      <c r="AS20" s="110"/>
      <c r="AT20" s="117">
        <v>1724</v>
      </c>
      <c r="AU20" s="117"/>
      <c r="AV20" s="114"/>
      <c r="AX20" s="109">
        <v>62</v>
      </c>
      <c r="AY20">
        <f aca="true" t="shared" si="7" ref="AY20:AY41">LOG(AP20)</f>
        <v>2.273070753622466</v>
      </c>
      <c r="BA20">
        <f aca="true" t="shared" si="8" ref="BA20:BA33">LOG(AR20)</f>
        <v>1.806179973983887</v>
      </c>
      <c r="BC20">
        <f aca="true" t="shared" si="9" ref="BC20:BC41">LOG(AT20)</f>
        <v>3.236537261488694</v>
      </c>
      <c r="BJ20" s="109">
        <v>2</v>
      </c>
      <c r="BK20" s="109"/>
      <c r="BL20" s="110">
        <v>2585.6</v>
      </c>
      <c r="BM20" s="110">
        <v>99.8</v>
      </c>
      <c r="BN20" s="110"/>
      <c r="BO20" s="110"/>
      <c r="BP20" s="110"/>
      <c r="BQ20" s="110"/>
      <c r="BU20" s="109">
        <f aca="true" t="shared" si="10" ref="BU20:BU38">BU19+1</f>
        <v>2</v>
      </c>
      <c r="BV20" s="109"/>
      <c r="BW20" s="105">
        <f aca="true" t="shared" si="11" ref="BW20:BW38">LOG(BL20)</f>
        <v>3.412561339094492</v>
      </c>
      <c r="BX20" s="105">
        <f aca="true" t="shared" si="12" ref="BX20:BX38">LOG(BM20)</f>
        <v>1.999130541287371</v>
      </c>
      <c r="BY20" s="110"/>
      <c r="BZ20" s="110"/>
      <c r="CA20" s="110"/>
      <c r="CB20" s="110"/>
    </row>
    <row r="21" spans="1:80" ht="13.5" thickBot="1">
      <c r="A21" t="s">
        <v>293</v>
      </c>
      <c r="B21" t="s">
        <v>294</v>
      </c>
      <c r="C21" s="104">
        <v>1</v>
      </c>
      <c r="D21" s="104"/>
      <c r="E21" s="105">
        <v>2157.4</v>
      </c>
      <c r="F21" s="105">
        <v>85.5</v>
      </c>
      <c r="G21" s="105"/>
      <c r="H21" s="105"/>
      <c r="I21" s="105"/>
      <c r="J21" s="105"/>
      <c r="L21">
        <f>LOG(F21)</f>
        <v>1.9319661147281726</v>
      </c>
      <c r="N21" t="s">
        <v>308</v>
      </c>
      <c r="O21">
        <v>18.8</v>
      </c>
      <c r="P21">
        <v>3309</v>
      </c>
      <c r="Q21">
        <f t="shared" si="3"/>
        <v>176.01063829787233</v>
      </c>
      <c r="R21">
        <f t="shared" si="4"/>
        <v>1.2741578492636798</v>
      </c>
      <c r="S21">
        <f t="shared" si="5"/>
        <v>3.519696767159853</v>
      </c>
      <c r="T21">
        <f t="shared" si="6"/>
        <v>2.762371058808642</v>
      </c>
      <c r="U21">
        <f>LOG(Q19)</f>
        <v>1.6468723357443247</v>
      </c>
      <c r="Y21">
        <v>3</v>
      </c>
      <c r="Z21">
        <v>498</v>
      </c>
      <c r="AA21">
        <v>12.19</v>
      </c>
      <c r="AB21">
        <v>1411</v>
      </c>
      <c r="AC21">
        <v>2.57</v>
      </c>
      <c r="AD21">
        <v>4.82</v>
      </c>
      <c r="AE21">
        <f t="shared" si="1"/>
        <v>0.024477911646586345</v>
      </c>
      <c r="AG21">
        <f t="shared" si="2"/>
        <v>2.6972293427597176</v>
      </c>
      <c r="AH21">
        <f t="shared" si="2"/>
        <v>1.086003705618382</v>
      </c>
      <c r="AI21">
        <f t="shared" si="2"/>
        <v>3.149527013754348</v>
      </c>
      <c r="AJ21">
        <f t="shared" si="2"/>
        <v>0.4099331233312945</v>
      </c>
      <c r="AK21">
        <f t="shared" si="2"/>
        <v>0.6830470382388496</v>
      </c>
      <c r="AL21">
        <f t="shared" si="2"/>
        <v>-1.6112256371413356</v>
      </c>
      <c r="AO21" s="109">
        <v>63</v>
      </c>
      <c r="AP21" s="109">
        <v>243.93</v>
      </c>
      <c r="AQ21" s="110"/>
      <c r="AR21" s="110">
        <v>44</v>
      </c>
      <c r="AS21" s="110"/>
      <c r="AT21" s="117">
        <v>1039</v>
      </c>
      <c r="AU21" s="117"/>
      <c r="AV21" s="114"/>
      <c r="AX21" s="109">
        <v>63</v>
      </c>
      <c r="AY21">
        <f t="shared" si="7"/>
        <v>2.387265215784175</v>
      </c>
      <c r="BA21">
        <f t="shared" si="8"/>
        <v>1.6434526764861874</v>
      </c>
      <c r="BC21">
        <f t="shared" si="9"/>
        <v>3.016615547557177</v>
      </c>
      <c r="BJ21" s="109">
        <v>3</v>
      </c>
      <c r="BK21" s="109"/>
      <c r="BL21" s="110">
        <v>2452.3</v>
      </c>
      <c r="BM21" s="110">
        <v>83.4</v>
      </c>
      <c r="BN21" s="110"/>
      <c r="BO21" s="110"/>
      <c r="BP21" s="110"/>
      <c r="BQ21" s="110"/>
      <c r="BU21" s="109">
        <f t="shared" si="10"/>
        <v>3</v>
      </c>
      <c r="BV21" s="109"/>
      <c r="BW21" s="105">
        <f t="shared" si="11"/>
        <v>3.3895735981363</v>
      </c>
      <c r="BX21" s="105">
        <f t="shared" si="12"/>
        <v>1.9211660506377388</v>
      </c>
      <c r="BY21" s="110"/>
      <c r="BZ21" s="110"/>
      <c r="CA21" s="110"/>
      <c r="CB21" s="110"/>
    </row>
    <row r="22" spans="3:80" ht="13.5" thickBot="1">
      <c r="C22" s="109">
        <f aca="true" t="shared" si="13" ref="C22:C85">C21+1</f>
        <v>2</v>
      </c>
      <c r="D22" s="109"/>
      <c r="E22" s="110">
        <v>2585.6</v>
      </c>
      <c r="F22" s="110">
        <v>99.8</v>
      </c>
      <c r="G22" s="110"/>
      <c r="H22" s="110"/>
      <c r="I22" s="110"/>
      <c r="J22" s="110"/>
      <c r="L22">
        <f aca="true" t="shared" si="14" ref="L22:L83">LOG(F22)</f>
        <v>1.999130541287371</v>
      </c>
      <c r="N22" t="s">
        <v>309</v>
      </c>
      <c r="O22">
        <v>12.6</v>
      </c>
      <c r="P22">
        <v>490</v>
      </c>
      <c r="Q22">
        <f t="shared" si="3"/>
        <v>38.88888888888889</v>
      </c>
      <c r="R22">
        <f t="shared" si="4"/>
        <v>1.100370545117563</v>
      </c>
      <c r="S22">
        <f t="shared" si="5"/>
        <v>2.690196080028514</v>
      </c>
      <c r="T22">
        <f t="shared" si="6"/>
        <v>2.444809243545405</v>
      </c>
      <c r="U22">
        <f aca="true" t="shared" si="15" ref="U22:U43">LOG(Q20)</f>
        <v>1.776720295277195</v>
      </c>
      <c r="Y22">
        <v>4</v>
      </c>
      <c r="Z22">
        <v>296</v>
      </c>
      <c r="AA22">
        <v>6.03</v>
      </c>
      <c r="AB22">
        <v>700</v>
      </c>
      <c r="AC22">
        <v>1.28</v>
      </c>
      <c r="AD22">
        <v>2.39</v>
      </c>
      <c r="AE22">
        <f t="shared" si="1"/>
        <v>0.02037162162162162</v>
      </c>
      <c r="AG22">
        <f t="shared" si="2"/>
        <v>2.4712917110589387</v>
      </c>
      <c r="AH22">
        <f t="shared" si="2"/>
        <v>0.7803173121401513</v>
      </c>
      <c r="AI22">
        <f t="shared" si="2"/>
        <v>2.845098040014257</v>
      </c>
      <c r="AJ22">
        <f t="shared" si="2"/>
        <v>0.10720996964786837</v>
      </c>
      <c r="AK22">
        <f t="shared" si="2"/>
        <v>0.3783979009481377</v>
      </c>
      <c r="AL22">
        <f t="shared" si="2"/>
        <v>-1.6909743989187873</v>
      </c>
      <c r="AO22" s="109">
        <v>64</v>
      </c>
      <c r="AP22" s="109">
        <v>276.36</v>
      </c>
      <c r="AQ22" s="110"/>
      <c r="AR22" s="110">
        <v>50</v>
      </c>
      <c r="AS22" s="110"/>
      <c r="AT22" s="117">
        <v>1432</v>
      </c>
      <c r="AU22" s="117"/>
      <c r="AV22" s="114"/>
      <c r="AX22" s="109">
        <v>64</v>
      </c>
      <c r="AY22">
        <f t="shared" si="7"/>
        <v>2.441475184011856</v>
      </c>
      <c r="BA22">
        <f t="shared" si="8"/>
        <v>1.6989700043360187</v>
      </c>
      <c r="BC22">
        <f t="shared" si="9"/>
        <v>3.1559430179718366</v>
      </c>
      <c r="BJ22" s="109">
        <v>4</v>
      </c>
      <c r="BK22" s="109"/>
      <c r="BL22" s="110">
        <v>1520</v>
      </c>
      <c r="BM22" s="110">
        <v>23</v>
      </c>
      <c r="BN22" s="110"/>
      <c r="BO22" s="110"/>
      <c r="BP22" s="110"/>
      <c r="BQ22" s="110"/>
      <c r="BU22" s="109">
        <f t="shared" si="10"/>
        <v>4</v>
      </c>
      <c r="BV22" s="109"/>
      <c r="BW22" s="105">
        <f t="shared" si="11"/>
        <v>3.1818435879447726</v>
      </c>
      <c r="BX22" s="105">
        <f t="shared" si="12"/>
        <v>1.3617278360175928</v>
      </c>
      <c r="BY22" s="110"/>
      <c r="BZ22" s="110"/>
      <c r="CA22" s="110"/>
      <c r="CB22" s="110"/>
    </row>
    <row r="23" spans="3:80" ht="13.5" thickBot="1">
      <c r="C23" s="109">
        <f t="shared" si="13"/>
        <v>3</v>
      </c>
      <c r="D23" s="109"/>
      <c r="E23" s="110">
        <v>2452.3</v>
      </c>
      <c r="F23" s="110">
        <v>83.4</v>
      </c>
      <c r="G23" s="110"/>
      <c r="H23" s="110"/>
      <c r="I23" s="110"/>
      <c r="J23" s="110"/>
      <c r="L23">
        <f t="shared" si="14"/>
        <v>1.9211660506377388</v>
      </c>
      <c r="N23" t="s">
        <v>327</v>
      </c>
      <c r="O23">
        <v>16.6</v>
      </c>
      <c r="P23">
        <v>908</v>
      </c>
      <c r="Q23">
        <f t="shared" si="3"/>
        <v>54.69879518072289</v>
      </c>
      <c r="R23">
        <f t="shared" si="4"/>
        <v>1.2201080880400552</v>
      </c>
      <c r="S23">
        <f t="shared" si="5"/>
        <v>2.958085848521085</v>
      </c>
      <c r="T23">
        <f t="shared" si="6"/>
        <v>2.4244457335520697</v>
      </c>
      <c r="U23">
        <f t="shared" si="15"/>
        <v>2.245538917896173</v>
      </c>
      <c r="Y23">
        <v>5</v>
      </c>
      <c r="Z23">
        <v>57</v>
      </c>
      <c r="AA23">
        <v>9.11</v>
      </c>
      <c r="AB23">
        <v>1060</v>
      </c>
      <c r="AC23">
        <v>2.76</v>
      </c>
      <c r="AD23">
        <v>3.61</v>
      </c>
      <c r="AE23">
        <f t="shared" si="1"/>
        <v>0.15982456140350876</v>
      </c>
      <c r="AG23">
        <f t="shared" si="2"/>
        <v>1.7558748556724915</v>
      </c>
      <c r="AH23">
        <f t="shared" si="2"/>
        <v>0.9595183769729982</v>
      </c>
      <c r="AI23">
        <f t="shared" si="2"/>
        <v>3.0253058652647704</v>
      </c>
      <c r="AJ23">
        <f t="shared" si="2"/>
        <v>0.4409090820652177</v>
      </c>
      <c r="AK23">
        <f t="shared" si="2"/>
        <v>0.557507201905658</v>
      </c>
      <c r="AL23">
        <f t="shared" si="2"/>
        <v>-0.7963564786994932</v>
      </c>
      <c r="AO23" s="109">
        <v>65</v>
      </c>
      <c r="AP23" s="109">
        <v>403.26</v>
      </c>
      <c r="AQ23" s="110"/>
      <c r="AR23" s="110">
        <v>52.5</v>
      </c>
      <c r="AS23" s="110"/>
      <c r="AT23" s="117">
        <v>1422</v>
      </c>
      <c r="AU23" s="117"/>
      <c r="AV23" s="114"/>
      <c r="AX23" s="109">
        <v>65</v>
      </c>
      <c r="AY23">
        <f t="shared" si="7"/>
        <v>2.605585145784423</v>
      </c>
      <c r="BA23">
        <f t="shared" si="8"/>
        <v>1.7201593034059568</v>
      </c>
      <c r="BC23">
        <f t="shared" si="9"/>
        <v>3.1528995963937474</v>
      </c>
      <c r="BJ23" s="109">
        <v>5</v>
      </c>
      <c r="BK23" s="109"/>
      <c r="BL23" s="110">
        <v>1231.7</v>
      </c>
      <c r="BM23" s="110">
        <v>34</v>
      </c>
      <c r="BN23" s="110"/>
      <c r="BO23" s="110"/>
      <c r="BP23" s="110"/>
      <c r="BQ23" s="110"/>
      <c r="BU23" s="109">
        <f t="shared" si="10"/>
        <v>5</v>
      </c>
      <c r="BV23" s="109"/>
      <c r="BW23" s="105">
        <f t="shared" si="11"/>
        <v>3.0905049414240433</v>
      </c>
      <c r="BX23" s="105">
        <f t="shared" si="12"/>
        <v>1.5314789170422551</v>
      </c>
      <c r="BY23" s="110"/>
      <c r="BZ23" s="110"/>
      <c r="CA23" s="110"/>
      <c r="CB23" s="110"/>
    </row>
    <row r="24" spans="3:80" ht="13.5" thickBot="1">
      <c r="C24" s="109">
        <f t="shared" si="13"/>
        <v>4</v>
      </c>
      <c r="D24" s="109"/>
      <c r="E24" s="110">
        <v>1520</v>
      </c>
      <c r="F24" s="110">
        <v>23</v>
      </c>
      <c r="G24" s="110"/>
      <c r="H24" s="110"/>
      <c r="I24" s="110"/>
      <c r="J24" s="110"/>
      <c r="L24">
        <f t="shared" si="14"/>
        <v>1.3617278360175928</v>
      </c>
      <c r="N24" t="s">
        <v>314</v>
      </c>
      <c r="O24">
        <v>17.7</v>
      </c>
      <c r="P24">
        <v>1113</v>
      </c>
      <c r="Q24">
        <f t="shared" si="3"/>
        <v>62.88135593220339</v>
      </c>
      <c r="R24">
        <f t="shared" si="4"/>
        <v>1.2479732663618066</v>
      </c>
      <c r="S24">
        <f t="shared" si="5"/>
        <v>3.0464951643347082</v>
      </c>
      <c r="T24">
        <f t="shared" si="6"/>
        <v>2.441154186913073</v>
      </c>
      <c r="U24">
        <f t="shared" si="15"/>
        <v>1.589825534910951</v>
      </c>
      <c r="Y24">
        <v>6</v>
      </c>
      <c r="Z24">
        <v>81</v>
      </c>
      <c r="AA24">
        <v>16.77</v>
      </c>
      <c r="AB24">
        <v>1947</v>
      </c>
      <c r="AC24">
        <v>3.53</v>
      </c>
      <c r="AD24">
        <v>6.64</v>
      </c>
      <c r="AE24">
        <f t="shared" si="1"/>
        <v>0.20703703703703702</v>
      </c>
      <c r="AG24">
        <f t="shared" si="2"/>
        <v>1.9084850188786497</v>
      </c>
      <c r="AH24">
        <f t="shared" si="2"/>
        <v>1.2245330626060857</v>
      </c>
      <c r="AI24">
        <f t="shared" si="2"/>
        <v>3.2893659515200318</v>
      </c>
      <c r="AJ24">
        <f t="shared" si="2"/>
        <v>0.5477747053878226</v>
      </c>
      <c r="AK24">
        <f t="shared" si="2"/>
        <v>0.8221680793680175</v>
      </c>
      <c r="AL24">
        <f t="shared" si="2"/>
        <v>-0.683951956272564</v>
      </c>
      <c r="AO24" s="109">
        <v>66</v>
      </c>
      <c r="AP24" s="109">
        <v>421.59</v>
      </c>
      <c r="AQ24" s="110"/>
      <c r="AR24" s="110">
        <v>91</v>
      </c>
      <c r="AS24" s="110"/>
      <c r="AT24" s="117">
        <v>1746</v>
      </c>
      <c r="AU24" s="117"/>
      <c r="AV24" s="114"/>
      <c r="AX24" s="109">
        <v>66</v>
      </c>
      <c r="AY24">
        <f t="shared" si="7"/>
        <v>2.6248903009798097</v>
      </c>
      <c r="BA24">
        <f t="shared" si="8"/>
        <v>1.9590413923210936</v>
      </c>
      <c r="BC24">
        <f t="shared" si="9"/>
        <v>3.2420442393695508</v>
      </c>
      <c r="BJ24" s="109">
        <v>6</v>
      </c>
      <c r="BK24" s="109"/>
      <c r="BL24" s="110">
        <v>1842.2</v>
      </c>
      <c r="BM24" s="110">
        <v>36.3</v>
      </c>
      <c r="BN24" s="110"/>
      <c r="BO24" s="110"/>
      <c r="BP24" s="110"/>
      <c r="BQ24" s="110"/>
      <c r="BU24" s="109">
        <f t="shared" si="10"/>
        <v>6</v>
      </c>
      <c r="BV24" s="109"/>
      <c r="BW24" s="105">
        <f t="shared" si="11"/>
        <v>3.2653367779679177</v>
      </c>
      <c r="BX24" s="105">
        <f t="shared" si="12"/>
        <v>1.5599066250361124</v>
      </c>
      <c r="BY24" s="110"/>
      <c r="BZ24" s="110"/>
      <c r="CA24" s="110"/>
      <c r="CB24" s="110"/>
    </row>
    <row r="25" spans="3:80" ht="13.5" thickBot="1">
      <c r="C25" s="109">
        <f t="shared" si="13"/>
        <v>5</v>
      </c>
      <c r="D25" s="109"/>
      <c r="E25" s="110">
        <v>1231.7</v>
      </c>
      <c r="F25" s="110">
        <v>34</v>
      </c>
      <c r="G25" s="110"/>
      <c r="H25" s="110"/>
      <c r="I25" s="110"/>
      <c r="J25" s="110"/>
      <c r="L25">
        <f t="shared" si="14"/>
        <v>1.5314789170422551</v>
      </c>
      <c r="N25" t="s">
        <v>310</v>
      </c>
      <c r="O25">
        <v>13.3</v>
      </c>
      <c r="P25">
        <v>1724</v>
      </c>
      <c r="Q25">
        <f t="shared" si="3"/>
        <v>129.62406015037593</v>
      </c>
      <c r="R25">
        <f t="shared" si="4"/>
        <v>1.1238516409670858</v>
      </c>
      <c r="S25">
        <f t="shared" si="5"/>
        <v>3.236537261488694</v>
      </c>
      <c r="T25">
        <f t="shared" si="6"/>
        <v>2.8798616681322997</v>
      </c>
      <c r="U25">
        <f t="shared" si="15"/>
        <v>1.73797776048103</v>
      </c>
      <c r="Y25" t="s">
        <v>835</v>
      </c>
      <c r="Z25">
        <f aca="true" t="shared" si="16" ref="Z25:AE25">AVERAGE(Z19:Z24)</f>
        <v>266.5</v>
      </c>
      <c r="AA25">
        <f t="shared" si="16"/>
        <v>16.598333333333333</v>
      </c>
      <c r="AB25">
        <f t="shared" si="16"/>
        <v>1861.8333333333333</v>
      </c>
      <c r="AC25">
        <f t="shared" si="16"/>
        <v>3.526666666666667</v>
      </c>
      <c r="AD25">
        <f t="shared" si="16"/>
        <v>6.358333333333333</v>
      </c>
      <c r="AE25">
        <f t="shared" si="16"/>
        <v>0.11942054934415702</v>
      </c>
      <c r="AG25">
        <f aca="true" t="shared" si="17" ref="AG25:AL25">AVERAGE(AG19:AG24)</f>
        <v>2.289391792812828</v>
      </c>
      <c r="AH25">
        <f t="shared" si="17"/>
        <v>1.1234862380234634</v>
      </c>
      <c r="AI25">
        <f t="shared" si="17"/>
        <v>3.182425347656356</v>
      </c>
      <c r="AJ25">
        <f t="shared" si="17"/>
        <v>0.4687004296511481</v>
      </c>
      <c r="AK25">
        <f t="shared" si="17"/>
        <v>0.7157203019748212</v>
      </c>
      <c r="AL25">
        <f t="shared" si="17"/>
        <v>-1.1659055547893644</v>
      </c>
      <c r="AO25" s="109">
        <v>67</v>
      </c>
      <c r="AP25" s="109">
        <v>393.39</v>
      </c>
      <c r="AQ25" s="110"/>
      <c r="AR25" s="110">
        <v>19</v>
      </c>
      <c r="AS25" s="110"/>
      <c r="AT25" s="117">
        <v>943</v>
      </c>
      <c r="AU25" s="117"/>
      <c r="AV25" s="114"/>
      <c r="AX25" s="109">
        <v>67</v>
      </c>
      <c r="AY25">
        <f t="shared" si="7"/>
        <v>2.5948233159289775</v>
      </c>
      <c r="BA25">
        <f t="shared" si="8"/>
        <v>1.2787536009528289</v>
      </c>
      <c r="BC25">
        <f t="shared" si="9"/>
        <v>2.9745116927373285</v>
      </c>
      <c r="BJ25" s="109">
        <v>7</v>
      </c>
      <c r="BK25" s="109"/>
      <c r="BL25" s="110">
        <v>3850</v>
      </c>
      <c r="BM25" s="110">
        <v>76.8</v>
      </c>
      <c r="BN25" s="110"/>
      <c r="BO25" s="110"/>
      <c r="BP25" s="110"/>
      <c r="BQ25" s="110"/>
      <c r="BU25" s="109">
        <f t="shared" si="10"/>
        <v>7</v>
      </c>
      <c r="BV25" s="109"/>
      <c r="BW25" s="105">
        <f t="shared" si="11"/>
        <v>3.5854607295085006</v>
      </c>
      <c r="BX25" s="105">
        <f t="shared" si="12"/>
        <v>1.885361220031512</v>
      </c>
      <c r="BY25" s="110"/>
      <c r="BZ25" s="110"/>
      <c r="CA25" s="110"/>
      <c r="CB25" s="110"/>
    </row>
    <row r="26" spans="3:80" ht="13.5" thickBot="1">
      <c r="C26" s="109">
        <f t="shared" si="13"/>
        <v>6</v>
      </c>
      <c r="D26" s="109"/>
      <c r="E26" s="110">
        <v>1842.2</v>
      </c>
      <c r="F26" s="110">
        <v>36.3</v>
      </c>
      <c r="G26" s="110"/>
      <c r="H26" s="110"/>
      <c r="I26" s="110"/>
      <c r="J26" s="110"/>
      <c r="L26">
        <f t="shared" si="14"/>
        <v>1.5599066250361124</v>
      </c>
      <c r="N26" t="s">
        <v>311</v>
      </c>
      <c r="O26">
        <v>17.3</v>
      </c>
      <c r="P26">
        <v>1039</v>
      </c>
      <c r="Q26">
        <f t="shared" si="3"/>
        <v>60.05780346820809</v>
      </c>
      <c r="R26">
        <f t="shared" si="4"/>
        <v>1.2380461031287955</v>
      </c>
      <c r="S26">
        <f t="shared" si="5"/>
        <v>3.016615547557177</v>
      </c>
      <c r="T26">
        <f t="shared" si="6"/>
        <v>2.4365938715315796</v>
      </c>
      <c r="U26">
        <f t="shared" si="15"/>
        <v>1.7985218979729016</v>
      </c>
      <c r="Y26" t="s">
        <v>1032</v>
      </c>
      <c r="Z26">
        <f aca="true" t="shared" si="18" ref="Z26:AE26">STDEV(Z19:Z24)</f>
        <v>202.012623367947</v>
      </c>
      <c r="AA26">
        <f t="shared" si="18"/>
        <v>14.103237098860196</v>
      </c>
      <c r="AB26">
        <f t="shared" si="18"/>
        <v>1485.7789090799029</v>
      </c>
      <c r="AC26">
        <f t="shared" si="18"/>
        <v>2.6322056657234563</v>
      </c>
      <c r="AD26">
        <f t="shared" si="18"/>
        <v>5.078091833225023</v>
      </c>
      <c r="AE26">
        <f t="shared" si="18"/>
        <v>0.11359235815023092</v>
      </c>
      <c r="AG26" s="1">
        <f aca="true" t="shared" si="19" ref="AG26:AL26">STDEV(AG19:AG24)</f>
        <v>0.4031781940069082</v>
      </c>
      <c r="AH26" s="1">
        <f t="shared" si="19"/>
        <v>0.29593748193671304</v>
      </c>
      <c r="AI26" s="1">
        <f t="shared" si="19"/>
        <v>0.2840622452095705</v>
      </c>
      <c r="AJ26" s="1">
        <f t="shared" si="19"/>
        <v>0.2729926909094487</v>
      </c>
      <c r="AK26" s="1">
        <f t="shared" si="19"/>
        <v>0.2842133701564897</v>
      </c>
      <c r="AL26" s="1">
        <f t="shared" si="19"/>
        <v>0.5429247724427667</v>
      </c>
      <c r="AO26" s="109">
        <v>68</v>
      </c>
      <c r="AP26" s="109">
        <v>439.92</v>
      </c>
      <c r="AQ26" s="110"/>
      <c r="AR26" s="110">
        <v>77</v>
      </c>
      <c r="AS26" s="110"/>
      <c r="AT26" s="117">
        <v>1627</v>
      </c>
      <c r="AU26" s="117"/>
      <c r="AV26" s="114"/>
      <c r="AX26" s="109">
        <v>68</v>
      </c>
      <c r="AY26">
        <f t="shared" si="7"/>
        <v>2.6433737066738225</v>
      </c>
      <c r="BA26">
        <f t="shared" si="8"/>
        <v>1.8864907251724818</v>
      </c>
      <c r="BC26">
        <f t="shared" si="9"/>
        <v>3.2113875529368587</v>
      </c>
      <c r="BJ26" s="109">
        <v>8</v>
      </c>
      <c r="BK26" s="109"/>
      <c r="BL26" s="110">
        <v>1835.2</v>
      </c>
      <c r="BM26" s="110">
        <v>46</v>
      </c>
      <c r="BN26" s="110"/>
      <c r="BO26" s="110"/>
      <c r="BP26" s="110"/>
      <c r="BQ26" s="110"/>
      <c r="BU26" s="109">
        <f t="shared" si="10"/>
        <v>8</v>
      </c>
      <c r="BV26" s="109"/>
      <c r="BW26" s="105">
        <f t="shared" si="11"/>
        <v>3.2636834005571926</v>
      </c>
      <c r="BX26" s="105">
        <f t="shared" si="12"/>
        <v>1.662757831681574</v>
      </c>
      <c r="BY26" s="110"/>
      <c r="BZ26" s="110"/>
      <c r="CA26" s="110"/>
      <c r="CB26" s="110"/>
    </row>
    <row r="27" spans="3:80" ht="13.5" thickBot="1">
      <c r="C27" s="109">
        <f t="shared" si="13"/>
        <v>7</v>
      </c>
      <c r="D27" s="109"/>
      <c r="E27" s="110">
        <v>3850</v>
      </c>
      <c r="F27" s="110">
        <v>76.8</v>
      </c>
      <c r="G27" s="110"/>
      <c r="H27" s="110"/>
      <c r="I27" s="110"/>
      <c r="J27" s="110"/>
      <c r="L27">
        <f t="shared" si="14"/>
        <v>1.885361220031512</v>
      </c>
      <c r="N27" t="s">
        <v>312</v>
      </c>
      <c r="O27">
        <v>19.6</v>
      </c>
      <c r="P27">
        <v>1432</v>
      </c>
      <c r="Q27">
        <f t="shared" si="3"/>
        <v>73.06122448979592</v>
      </c>
      <c r="R27">
        <f t="shared" si="4"/>
        <v>1.2922560713564761</v>
      </c>
      <c r="S27">
        <f t="shared" si="5"/>
        <v>3.1559430179718366</v>
      </c>
      <c r="T27">
        <f t="shared" si="6"/>
        <v>2.4421963169103593</v>
      </c>
      <c r="U27">
        <f t="shared" si="15"/>
        <v>2.1126856205216082</v>
      </c>
      <c r="Y27" t="s">
        <v>412</v>
      </c>
      <c r="Z27" s="1">
        <f aca="true" t="shared" si="20" ref="Z27:AE27">Z26/Z25</f>
        <v>0.7580211008178124</v>
      </c>
      <c r="AA27" s="1">
        <f t="shared" si="20"/>
        <v>0.8496779053435203</v>
      </c>
      <c r="AB27" s="1">
        <f t="shared" si="20"/>
        <v>0.7980192869465059</v>
      </c>
      <c r="AC27" s="1">
        <f t="shared" si="20"/>
        <v>0.7463721169348174</v>
      </c>
      <c r="AD27" s="1">
        <f t="shared" si="20"/>
        <v>0.7986514023420743</v>
      </c>
      <c r="AE27" s="1">
        <f t="shared" si="20"/>
        <v>0.9511960778447778</v>
      </c>
      <c r="AO27" s="109">
        <v>69</v>
      </c>
      <c r="AP27" s="109">
        <v>493.5</v>
      </c>
      <c r="AQ27" s="110"/>
      <c r="AR27" s="110">
        <v>37</v>
      </c>
      <c r="AS27" s="110"/>
      <c r="AT27" s="117">
        <v>1416</v>
      </c>
      <c r="AU27" s="117"/>
      <c r="AV27" s="114"/>
      <c r="AX27" s="109">
        <v>69</v>
      </c>
      <c r="AY27">
        <f t="shared" si="7"/>
        <v>2.6932871570056554</v>
      </c>
      <c r="BA27">
        <f t="shared" si="8"/>
        <v>1.568201724066995</v>
      </c>
      <c r="BC27">
        <f t="shared" si="9"/>
        <v>3.15106325335375</v>
      </c>
      <c r="BJ27" s="109">
        <v>9</v>
      </c>
      <c r="BK27" s="109"/>
      <c r="BL27" s="110">
        <v>2472.5</v>
      </c>
      <c r="BM27" s="110">
        <v>69</v>
      </c>
      <c r="BN27" s="110"/>
      <c r="BO27" s="110"/>
      <c r="BP27" s="110"/>
      <c r="BQ27" s="110"/>
      <c r="BU27" s="109">
        <f t="shared" si="10"/>
        <v>9</v>
      </c>
      <c r="BV27" s="109"/>
      <c r="BW27" s="105">
        <f t="shared" si="11"/>
        <v>3.393136300269217</v>
      </c>
      <c r="BX27" s="105">
        <f t="shared" si="12"/>
        <v>1.8388490907372552</v>
      </c>
      <c r="BY27" s="110"/>
      <c r="BZ27" s="110"/>
      <c r="CA27" s="110"/>
      <c r="CB27" s="110"/>
    </row>
    <row r="28" spans="3:80" ht="13.5" thickBot="1">
      <c r="C28" s="109">
        <f t="shared" si="13"/>
        <v>8</v>
      </c>
      <c r="D28" s="109"/>
      <c r="E28" s="110">
        <v>1835.2</v>
      </c>
      <c r="F28" s="110">
        <v>46</v>
      </c>
      <c r="G28" s="110"/>
      <c r="H28" s="110"/>
      <c r="I28" s="110"/>
      <c r="J28" s="110"/>
      <c r="L28">
        <f t="shared" si="14"/>
        <v>1.662757831681574</v>
      </c>
      <c r="N28" t="s">
        <v>313</v>
      </c>
      <c r="O28">
        <v>19.67</v>
      </c>
      <c r="P28">
        <v>825</v>
      </c>
      <c r="Q28">
        <f t="shared" si="3"/>
        <v>41.942043721403145</v>
      </c>
      <c r="R28">
        <f t="shared" si="4"/>
        <v>1.2938043599193367</v>
      </c>
      <c r="S28">
        <f t="shared" si="5"/>
        <v>2.916453948549925</v>
      </c>
      <c r="T28">
        <f t="shared" si="6"/>
        <v>2.254169207415373</v>
      </c>
      <c r="U28">
        <f t="shared" si="15"/>
        <v>1.778569444428382</v>
      </c>
      <c r="AO28" s="109">
        <v>70</v>
      </c>
      <c r="AP28" s="109">
        <v>407.772</v>
      </c>
      <c r="AQ28" s="110"/>
      <c r="AR28" s="110">
        <v>74</v>
      </c>
      <c r="AS28" s="110"/>
      <c r="AT28" s="117">
        <v>2353</v>
      </c>
      <c r="AU28" s="117"/>
      <c r="AV28" s="114"/>
      <c r="AX28" s="109">
        <v>70</v>
      </c>
      <c r="AY28">
        <f t="shared" si="7"/>
        <v>2.610417401277873</v>
      </c>
      <c r="BA28">
        <f t="shared" si="8"/>
        <v>1.8692317197309762</v>
      </c>
      <c r="BC28">
        <f t="shared" si="9"/>
        <v>3.3716219271760215</v>
      </c>
      <c r="BJ28" s="109">
        <v>10</v>
      </c>
      <c r="BK28" s="109"/>
      <c r="BL28" s="110">
        <v>2863.3</v>
      </c>
      <c r="BM28" s="110">
        <v>58.5</v>
      </c>
      <c r="BN28" s="110"/>
      <c r="BO28" s="110"/>
      <c r="BP28" s="110"/>
      <c r="BQ28" s="110"/>
      <c r="BU28" s="109">
        <f t="shared" si="10"/>
        <v>10</v>
      </c>
      <c r="BV28" s="109"/>
      <c r="BW28" s="105">
        <f t="shared" si="11"/>
        <v>3.456866853267461</v>
      </c>
      <c r="BX28" s="105">
        <f t="shared" si="12"/>
        <v>1.7671558660821804</v>
      </c>
      <c r="BY28" s="110"/>
      <c r="BZ28" s="110"/>
      <c r="CA28" s="110"/>
      <c r="CB28" s="110"/>
    </row>
    <row r="29" spans="3:80" ht="13.5" thickBot="1">
      <c r="C29" s="109">
        <f t="shared" si="13"/>
        <v>9</v>
      </c>
      <c r="D29" s="109"/>
      <c r="E29" s="110">
        <v>2472.5</v>
      </c>
      <c r="F29" s="110">
        <v>69</v>
      </c>
      <c r="G29" s="110"/>
      <c r="H29" s="110"/>
      <c r="I29" s="110"/>
      <c r="J29" s="110"/>
      <c r="L29">
        <f t="shared" si="14"/>
        <v>1.8388490907372552</v>
      </c>
      <c r="N29" t="s">
        <v>314</v>
      </c>
      <c r="O29">
        <v>28.6</v>
      </c>
      <c r="P29">
        <v>1422</v>
      </c>
      <c r="Q29">
        <f t="shared" si="3"/>
        <v>49.72027972027972</v>
      </c>
      <c r="R29">
        <f t="shared" si="4"/>
        <v>1.4563660331290431</v>
      </c>
      <c r="S29">
        <f t="shared" si="5"/>
        <v>3.1528995963937474</v>
      </c>
      <c r="T29">
        <f t="shared" si="6"/>
        <v>2.164908769273927</v>
      </c>
      <c r="U29">
        <f t="shared" si="15"/>
        <v>1.8636869466153607</v>
      </c>
      <c r="AO29" s="109">
        <v>71</v>
      </c>
      <c r="AP29" s="109">
        <v>379.995</v>
      </c>
      <c r="AQ29" s="110"/>
      <c r="AR29" s="110">
        <v>30</v>
      </c>
      <c r="AS29" s="110"/>
      <c r="AT29" s="117">
        <v>890</v>
      </c>
      <c r="AU29" s="117"/>
      <c r="AV29" s="114"/>
      <c r="AX29" s="109">
        <v>71</v>
      </c>
      <c r="AY29">
        <f t="shared" si="7"/>
        <v>2.579777882178137</v>
      </c>
      <c r="BA29">
        <f t="shared" si="8"/>
        <v>1.4771212547196624</v>
      </c>
      <c r="BC29">
        <f t="shared" si="9"/>
        <v>2.949390006644913</v>
      </c>
      <c r="BJ29" s="109">
        <v>11</v>
      </c>
      <c r="BK29" s="109"/>
      <c r="BL29" s="110">
        <v>4452.6</v>
      </c>
      <c r="BM29" s="110">
        <v>54</v>
      </c>
      <c r="BN29" s="110"/>
      <c r="BO29" s="110"/>
      <c r="BP29" s="110"/>
      <c r="BQ29" s="110"/>
      <c r="BU29" s="109">
        <f t="shared" si="10"/>
        <v>11</v>
      </c>
      <c r="BV29" s="109"/>
      <c r="BW29" s="105">
        <f t="shared" si="11"/>
        <v>3.648613681972564</v>
      </c>
      <c r="BX29" s="105">
        <f t="shared" si="12"/>
        <v>1.7323937598229686</v>
      </c>
      <c r="BY29" s="110"/>
      <c r="BZ29" s="110"/>
      <c r="CA29" s="110"/>
      <c r="CB29" s="110"/>
    </row>
    <row r="30" spans="3:80" ht="13.5" thickBot="1">
      <c r="C30" s="109">
        <f t="shared" si="13"/>
        <v>10</v>
      </c>
      <c r="D30" s="109"/>
      <c r="E30" s="110">
        <v>2863.3</v>
      </c>
      <c r="F30" s="110">
        <v>58.5</v>
      </c>
      <c r="G30" s="110"/>
      <c r="H30" s="110"/>
      <c r="I30" s="110"/>
      <c r="J30" s="110"/>
      <c r="L30">
        <f t="shared" si="14"/>
        <v>1.7671558660821804</v>
      </c>
      <c r="N30" t="s">
        <v>315</v>
      </c>
      <c r="O30">
        <v>29.9</v>
      </c>
      <c r="P30">
        <v>1746</v>
      </c>
      <c r="Q30">
        <f t="shared" si="3"/>
        <v>58.39464882943144</v>
      </c>
      <c r="R30">
        <f t="shared" si="4"/>
        <v>1.4756711883244296</v>
      </c>
      <c r="S30">
        <f t="shared" si="5"/>
        <v>3.2420442393695508</v>
      </c>
      <c r="T30">
        <f t="shared" si="6"/>
        <v>2.196996366819883</v>
      </c>
      <c r="U30">
        <f t="shared" si="15"/>
        <v>1.6226495886305883</v>
      </c>
      <c r="AO30" s="109">
        <v>72</v>
      </c>
      <c r="AP30" s="109">
        <v>511.548</v>
      </c>
      <c r="AQ30" s="110"/>
      <c r="AR30" s="110">
        <v>30</v>
      </c>
      <c r="AS30" s="110"/>
      <c r="AT30" s="117">
        <v>1584</v>
      </c>
      <c r="AU30" s="117"/>
      <c r="AV30" s="114"/>
      <c r="AX30" s="109">
        <v>72</v>
      </c>
      <c r="AY30">
        <f t="shared" si="7"/>
        <v>2.7088863910434378</v>
      </c>
      <c r="BA30">
        <f t="shared" si="8"/>
        <v>1.4771212547196624</v>
      </c>
      <c r="BC30">
        <f t="shared" si="9"/>
        <v>3.1997551772534747</v>
      </c>
      <c r="BJ30" s="109">
        <v>12</v>
      </c>
      <c r="BK30" s="109"/>
      <c r="BL30" s="110">
        <v>5004</v>
      </c>
      <c r="BM30" s="110">
        <v>64</v>
      </c>
      <c r="BN30" s="110"/>
      <c r="BO30" s="110"/>
      <c r="BP30" s="110"/>
      <c r="BQ30" s="110"/>
      <c r="BU30" s="109">
        <f t="shared" si="10"/>
        <v>12</v>
      </c>
      <c r="BV30" s="109"/>
      <c r="BW30" s="105">
        <f t="shared" si="11"/>
        <v>3.6993173010213822</v>
      </c>
      <c r="BX30" s="105">
        <f t="shared" si="12"/>
        <v>1.806179973983887</v>
      </c>
      <c r="BY30" s="110"/>
      <c r="BZ30" s="110"/>
      <c r="CA30" s="110"/>
      <c r="CB30" s="110"/>
    </row>
    <row r="31" spans="3:80" ht="13.5" thickBot="1">
      <c r="C31" s="109">
        <f t="shared" si="13"/>
        <v>11</v>
      </c>
      <c r="D31" s="109"/>
      <c r="E31" s="110">
        <v>4452.6</v>
      </c>
      <c r="F31" s="110">
        <v>54</v>
      </c>
      <c r="G31" s="110"/>
      <c r="H31" s="110"/>
      <c r="I31" s="110"/>
      <c r="J31" s="110"/>
      <c r="L31">
        <f t="shared" si="14"/>
        <v>1.7323937598229686</v>
      </c>
      <c r="N31" t="s">
        <v>316</v>
      </c>
      <c r="O31">
        <v>33.37</v>
      </c>
      <c r="P31">
        <v>1004</v>
      </c>
      <c r="Q31">
        <f t="shared" si="3"/>
        <v>30.086904405154332</v>
      </c>
      <c r="R31">
        <f t="shared" si="4"/>
        <v>1.5233562066547928</v>
      </c>
      <c r="S31">
        <f t="shared" si="5"/>
        <v>3.0017337128090005</v>
      </c>
      <c r="T31">
        <f t="shared" si="6"/>
        <v>1.9704739441083476</v>
      </c>
      <c r="U31">
        <f t="shared" si="15"/>
        <v>1.6965335632647045</v>
      </c>
      <c r="AO31" s="109">
        <v>73</v>
      </c>
      <c r="AP31" s="109">
        <v>785.37</v>
      </c>
      <c r="AQ31" s="110"/>
      <c r="AR31" s="110">
        <v>94</v>
      </c>
      <c r="AS31" s="110"/>
      <c r="AT31" s="117">
        <v>2078</v>
      </c>
      <c r="AU31" s="117"/>
      <c r="AV31" s="114"/>
      <c r="AX31" s="109">
        <v>73</v>
      </c>
      <c r="AY31">
        <f t="shared" si="7"/>
        <v>2.895074307829109</v>
      </c>
      <c r="BA31">
        <f t="shared" si="8"/>
        <v>1.9731278535996986</v>
      </c>
      <c r="BC31">
        <f t="shared" si="9"/>
        <v>3.3176455432211585</v>
      </c>
      <c r="BJ31" s="109">
        <v>13</v>
      </c>
      <c r="BK31" s="109"/>
      <c r="BL31" s="110">
        <v>2696.4</v>
      </c>
      <c r="BM31" s="110">
        <v>68</v>
      </c>
      <c r="BN31" s="110"/>
      <c r="BO31" s="110"/>
      <c r="BP31" s="110"/>
      <c r="BQ31" s="110"/>
      <c r="BU31" s="109">
        <f t="shared" si="10"/>
        <v>13</v>
      </c>
      <c r="BV31" s="109"/>
      <c r="BW31" s="105">
        <f t="shared" si="11"/>
        <v>3.430784318466754</v>
      </c>
      <c r="BX31" s="105">
        <f t="shared" si="12"/>
        <v>1.8325089127062364</v>
      </c>
      <c r="BY31" s="110"/>
      <c r="BZ31" s="110"/>
      <c r="CA31" s="110"/>
      <c r="CB31" s="110"/>
    </row>
    <row r="32" spans="3:80" ht="13.5" thickBot="1">
      <c r="C32" s="109">
        <f t="shared" si="13"/>
        <v>12</v>
      </c>
      <c r="D32" s="109"/>
      <c r="E32" s="110">
        <v>5004</v>
      </c>
      <c r="F32" s="110">
        <v>64</v>
      </c>
      <c r="G32" s="110"/>
      <c r="H32" s="110"/>
      <c r="I32" s="110"/>
      <c r="J32" s="110"/>
      <c r="L32">
        <f t="shared" si="14"/>
        <v>1.806179973983887</v>
      </c>
      <c r="N32" t="s">
        <v>317</v>
      </c>
      <c r="O32">
        <v>27.9</v>
      </c>
      <c r="P32">
        <v>943</v>
      </c>
      <c r="Q32">
        <f t="shared" si="3"/>
        <v>33.799283154121866</v>
      </c>
      <c r="R32">
        <f t="shared" si="4"/>
        <v>1.4456042032735976</v>
      </c>
      <c r="S32">
        <f t="shared" si="5"/>
        <v>2.9745116927373285</v>
      </c>
      <c r="T32">
        <f t="shared" si="6"/>
        <v>2.057625237946522</v>
      </c>
      <c r="U32">
        <f t="shared" si="15"/>
        <v>1.7663730510451212</v>
      </c>
      <c r="AO32" s="109">
        <v>74</v>
      </c>
      <c r="AP32" s="109">
        <v>734.61</v>
      </c>
      <c r="AQ32" s="110"/>
      <c r="AR32" s="110">
        <v>90</v>
      </c>
      <c r="AS32" s="110"/>
      <c r="AT32" s="117">
        <v>2623</v>
      </c>
      <c r="AU32" s="117"/>
      <c r="AV32" s="114"/>
      <c r="AX32" s="109">
        <v>74</v>
      </c>
      <c r="AY32">
        <f t="shared" si="7"/>
        <v>2.8660568359549043</v>
      </c>
      <c r="BA32">
        <f t="shared" si="8"/>
        <v>1.954242509439325</v>
      </c>
      <c r="BC32">
        <f t="shared" si="9"/>
        <v>3.4187982905903533</v>
      </c>
      <c r="BJ32" s="109">
        <v>14</v>
      </c>
      <c r="BK32" s="109"/>
      <c r="BL32" s="110">
        <v>2715.6</v>
      </c>
      <c r="BM32" s="110">
        <v>53</v>
      </c>
      <c r="BN32" s="110"/>
      <c r="BO32" s="110"/>
      <c r="BP32" s="110"/>
      <c r="BQ32" s="110"/>
      <c r="BU32" s="109">
        <f t="shared" si="10"/>
        <v>14</v>
      </c>
      <c r="BV32" s="109"/>
      <c r="BW32" s="105">
        <f t="shared" si="11"/>
        <v>3.433865800002353</v>
      </c>
      <c r="BX32" s="105">
        <f t="shared" si="12"/>
        <v>1.724275869600789</v>
      </c>
      <c r="BY32" s="110"/>
      <c r="BZ32" s="110"/>
      <c r="CA32" s="110"/>
      <c r="CB32" s="110"/>
    </row>
    <row r="33" spans="3:80" ht="13.5" thickBot="1">
      <c r="C33" s="109">
        <f t="shared" si="13"/>
        <v>13</v>
      </c>
      <c r="D33" s="109"/>
      <c r="E33" s="110">
        <v>2696.4</v>
      </c>
      <c r="F33" s="110">
        <v>68</v>
      </c>
      <c r="G33" s="110"/>
      <c r="H33" s="110"/>
      <c r="I33" s="110"/>
      <c r="J33" s="110"/>
      <c r="L33">
        <f t="shared" si="14"/>
        <v>1.8325089127062364</v>
      </c>
      <c r="N33" t="s">
        <v>318</v>
      </c>
      <c r="O33">
        <v>31.2</v>
      </c>
      <c r="P33">
        <v>1627</v>
      </c>
      <c r="Q33">
        <f t="shared" si="3"/>
        <v>52.1474358974359</v>
      </c>
      <c r="R33">
        <f t="shared" si="4"/>
        <v>1.4941545940184429</v>
      </c>
      <c r="S33">
        <f t="shared" si="5"/>
        <v>3.2113875529368587</v>
      </c>
      <c r="T33">
        <f t="shared" si="6"/>
        <v>2.1493007255025844</v>
      </c>
      <c r="U33">
        <f t="shared" si="15"/>
        <v>1.4783775061542077</v>
      </c>
      <c r="AO33" s="111">
        <v>75</v>
      </c>
      <c r="AP33" s="111">
        <v>705</v>
      </c>
      <c r="AQ33" s="112"/>
      <c r="AR33" s="112">
        <v>91</v>
      </c>
      <c r="AS33" s="112"/>
      <c r="AT33" s="118">
        <v>3455</v>
      </c>
      <c r="AU33" s="118"/>
      <c r="AV33" s="115"/>
      <c r="AX33" s="111">
        <v>75</v>
      </c>
      <c r="AY33">
        <f t="shared" si="7"/>
        <v>2.848189116991399</v>
      </c>
      <c r="BA33">
        <f t="shared" si="8"/>
        <v>1.9590413923210936</v>
      </c>
      <c r="BC33">
        <f t="shared" si="9"/>
        <v>3.5384480517102173</v>
      </c>
      <c r="BD33" t="s">
        <v>1033</v>
      </c>
      <c r="BE33">
        <f>AVERAGE(BA19:BA33)</f>
        <v>1.6875018713609395</v>
      </c>
      <c r="BJ33" s="109">
        <v>15</v>
      </c>
      <c r="BK33" s="109"/>
      <c r="BL33" s="110">
        <v>2720.6</v>
      </c>
      <c r="BM33" s="110">
        <v>46</v>
      </c>
      <c r="BN33" s="110"/>
      <c r="BO33" s="110"/>
      <c r="BP33" s="110"/>
      <c r="BQ33" s="110"/>
      <c r="BU33" s="109">
        <f t="shared" si="10"/>
        <v>15</v>
      </c>
      <c r="BV33" s="109"/>
      <c r="BW33" s="105">
        <f t="shared" si="11"/>
        <v>3.434664693722909</v>
      </c>
      <c r="BX33" s="105">
        <f t="shared" si="12"/>
        <v>1.662757831681574</v>
      </c>
      <c r="BY33" s="110"/>
      <c r="BZ33" s="110"/>
      <c r="CA33" s="110"/>
      <c r="CB33" s="110"/>
    </row>
    <row r="34" spans="3:80" ht="13.5" thickBot="1">
      <c r="C34" s="109">
        <f t="shared" si="13"/>
        <v>14</v>
      </c>
      <c r="D34" s="109"/>
      <c r="E34" s="110">
        <v>2715.6</v>
      </c>
      <c r="F34" s="110">
        <v>53</v>
      </c>
      <c r="G34" s="110"/>
      <c r="H34" s="110"/>
      <c r="I34" s="110"/>
      <c r="J34" s="110"/>
      <c r="L34">
        <f t="shared" si="14"/>
        <v>1.724275869600789</v>
      </c>
      <c r="N34" t="s">
        <v>319</v>
      </c>
      <c r="O34">
        <v>35</v>
      </c>
      <c r="P34">
        <v>1416</v>
      </c>
      <c r="Q34">
        <f t="shared" si="3"/>
        <v>40.457142857142856</v>
      </c>
      <c r="R34">
        <f t="shared" si="4"/>
        <v>1.5440680443502757</v>
      </c>
      <c r="S34">
        <f t="shared" si="5"/>
        <v>3.15106325335375</v>
      </c>
      <c r="T34">
        <f t="shared" si="6"/>
        <v>2.04075413961415</v>
      </c>
      <c r="U34">
        <f t="shared" si="15"/>
        <v>1.528907489463731</v>
      </c>
      <c r="AO34" s="104">
        <v>76</v>
      </c>
      <c r="AP34" s="104">
        <v>227.01</v>
      </c>
      <c r="AQ34" s="105"/>
      <c r="AR34" s="105"/>
      <c r="AS34" s="105"/>
      <c r="AT34" s="119">
        <v>714</v>
      </c>
      <c r="AU34" s="119"/>
      <c r="AV34" s="113"/>
      <c r="AX34" s="104">
        <v>76</v>
      </c>
      <c r="AY34">
        <f t="shared" si="7"/>
        <v>2.3560449886872297</v>
      </c>
      <c r="BC34">
        <f t="shared" si="9"/>
        <v>2.8536982117761744</v>
      </c>
      <c r="BD34" t="s">
        <v>411</v>
      </c>
      <c r="BE34">
        <f>STDEV(BC19:BC33)</f>
        <v>0.16611658031672616</v>
      </c>
      <c r="BJ34" s="109">
        <v>16</v>
      </c>
      <c r="BK34" s="109"/>
      <c r="BL34" s="110">
        <v>3342.8</v>
      </c>
      <c r="BM34" s="110">
        <v>66</v>
      </c>
      <c r="BN34" s="110"/>
      <c r="BO34" s="110"/>
      <c r="BP34" s="110"/>
      <c r="BQ34" s="110"/>
      <c r="BU34" s="109">
        <f t="shared" si="10"/>
        <v>16</v>
      </c>
      <c r="BV34" s="109"/>
      <c r="BW34" s="105">
        <f t="shared" si="11"/>
        <v>3.5241103934951363</v>
      </c>
      <c r="BX34" s="105">
        <f t="shared" si="12"/>
        <v>1.8195439355418688</v>
      </c>
      <c r="BY34" s="110"/>
      <c r="BZ34" s="110"/>
      <c r="CA34" s="110"/>
      <c r="CB34" s="110"/>
    </row>
    <row r="35" spans="3:80" ht="13.5" thickBot="1">
      <c r="C35" s="109">
        <f t="shared" si="13"/>
        <v>15</v>
      </c>
      <c r="D35" s="109"/>
      <c r="E35" s="110">
        <v>2720.6</v>
      </c>
      <c r="F35" s="110">
        <v>46</v>
      </c>
      <c r="G35" s="110"/>
      <c r="H35" s="110"/>
      <c r="I35" s="110"/>
      <c r="J35" s="110"/>
      <c r="L35">
        <f t="shared" si="14"/>
        <v>1.662757831681574</v>
      </c>
      <c r="N35" t="s">
        <v>320</v>
      </c>
      <c r="O35">
        <v>28.92</v>
      </c>
      <c r="P35">
        <v>2353</v>
      </c>
      <c r="Q35">
        <f t="shared" si="3"/>
        <v>81.36237897648685</v>
      </c>
      <c r="R35">
        <f t="shared" si="4"/>
        <v>1.4611982886224932</v>
      </c>
      <c r="S35">
        <f t="shared" si="5"/>
        <v>3.3716219271760215</v>
      </c>
      <c r="T35">
        <f t="shared" si="6"/>
        <v>2.3074362688684302</v>
      </c>
      <c r="U35">
        <f t="shared" si="15"/>
        <v>1.717232958918416</v>
      </c>
      <c r="AO35" s="109">
        <v>77</v>
      </c>
      <c r="AP35" s="109">
        <v>214.32</v>
      </c>
      <c r="AQ35" s="110"/>
      <c r="AR35" s="110"/>
      <c r="AS35" s="110"/>
      <c r="AT35" s="120">
        <v>909</v>
      </c>
      <c r="AU35" s="120"/>
      <c r="AV35" s="114"/>
      <c r="AX35" s="109">
        <v>77</v>
      </c>
      <c r="AY35">
        <f t="shared" si="7"/>
        <v>2.3310627006001523</v>
      </c>
      <c r="BC35">
        <f t="shared" si="9"/>
        <v>2.9585638832219674</v>
      </c>
      <c r="BJ35" s="109">
        <v>17</v>
      </c>
      <c r="BK35" s="109"/>
      <c r="BL35" s="110">
        <v>2477.6</v>
      </c>
      <c r="BM35" s="110">
        <v>41</v>
      </c>
      <c r="BN35" s="110"/>
      <c r="BO35" s="110"/>
      <c r="BP35" s="110"/>
      <c r="BQ35" s="110"/>
      <c r="BU35" s="109">
        <f t="shared" si="10"/>
        <v>17</v>
      </c>
      <c r="BV35" s="109"/>
      <c r="BW35" s="105">
        <f t="shared" si="11"/>
        <v>3.3940311923487303</v>
      </c>
      <c r="BX35" s="105">
        <f t="shared" si="12"/>
        <v>1.6127838567197355</v>
      </c>
      <c r="BY35" s="110"/>
      <c r="BZ35" s="110"/>
      <c r="CA35" s="110"/>
      <c r="CB35" s="110"/>
    </row>
    <row r="36" spans="3:80" ht="13.5" thickBot="1">
      <c r="C36" s="109">
        <f t="shared" si="13"/>
        <v>16</v>
      </c>
      <c r="D36" s="109"/>
      <c r="E36" s="110">
        <v>3342.8</v>
      </c>
      <c r="F36" s="110">
        <v>66</v>
      </c>
      <c r="G36" s="110"/>
      <c r="H36" s="110"/>
      <c r="I36" s="110"/>
      <c r="J36" s="110"/>
      <c r="L36">
        <f t="shared" si="14"/>
        <v>1.8195439355418688</v>
      </c>
      <c r="N36" t="s">
        <v>321</v>
      </c>
      <c r="O36">
        <v>26.95</v>
      </c>
      <c r="P36">
        <v>890</v>
      </c>
      <c r="Q36">
        <f t="shared" si="3"/>
        <v>33.024118738404454</v>
      </c>
      <c r="R36">
        <f t="shared" si="4"/>
        <v>1.4305587695227575</v>
      </c>
      <c r="S36">
        <f t="shared" si="5"/>
        <v>2.949390006644913</v>
      </c>
      <c r="T36">
        <f t="shared" si="6"/>
        <v>2.061704887265027</v>
      </c>
      <c r="U36">
        <f t="shared" si="15"/>
        <v>1.6069952090034745</v>
      </c>
      <c r="AO36" s="109">
        <v>78</v>
      </c>
      <c r="AP36" s="109">
        <v>265.08</v>
      </c>
      <c r="AQ36" s="110"/>
      <c r="AR36" s="110"/>
      <c r="AS36" s="110"/>
      <c r="AT36" s="120">
        <v>3309</v>
      </c>
      <c r="AU36" s="120"/>
      <c r="AV36" s="114"/>
      <c r="AX36" s="109">
        <v>78</v>
      </c>
      <c r="AY36">
        <f t="shared" si="7"/>
        <v>2.4233769619190597</v>
      </c>
      <c r="BC36">
        <f t="shared" si="9"/>
        <v>3.519696767159853</v>
      </c>
      <c r="BJ36" s="109">
        <v>18</v>
      </c>
      <c r="BK36" s="109"/>
      <c r="BL36" s="110">
        <v>3133</v>
      </c>
      <c r="BM36" s="110">
        <v>24</v>
      </c>
      <c r="BN36" s="110"/>
      <c r="BO36" s="110"/>
      <c r="BP36" s="110"/>
      <c r="BQ36" s="110"/>
      <c r="BU36" s="109">
        <f t="shared" si="10"/>
        <v>18</v>
      </c>
      <c r="BV36" s="109"/>
      <c r="BW36" s="105">
        <f t="shared" si="11"/>
        <v>3.4959603948817053</v>
      </c>
      <c r="BX36" s="105">
        <f t="shared" si="12"/>
        <v>1.380211241711606</v>
      </c>
      <c r="BY36" s="110"/>
      <c r="BZ36" s="110"/>
      <c r="CA36" s="110"/>
      <c r="CB36" s="110"/>
    </row>
    <row r="37" spans="3:80" ht="13.5" thickBot="1">
      <c r="C37" s="109">
        <f t="shared" si="13"/>
        <v>17</v>
      </c>
      <c r="D37" s="109"/>
      <c r="E37" s="110">
        <v>2477.6</v>
      </c>
      <c r="F37" s="110">
        <v>41</v>
      </c>
      <c r="G37" s="110"/>
      <c r="H37" s="110"/>
      <c r="I37" s="110"/>
      <c r="J37" s="110"/>
      <c r="L37">
        <f t="shared" si="14"/>
        <v>1.6127838567197355</v>
      </c>
      <c r="N37" t="s">
        <v>322</v>
      </c>
      <c r="O37">
        <v>36.28</v>
      </c>
      <c r="P37">
        <v>1584</v>
      </c>
      <c r="Q37">
        <f t="shared" si="3"/>
        <v>43.660418963616316</v>
      </c>
      <c r="R37">
        <f t="shared" si="4"/>
        <v>1.5596672783880576</v>
      </c>
      <c r="S37">
        <f t="shared" si="5"/>
        <v>3.1997551772534747</v>
      </c>
      <c r="T37">
        <f t="shared" si="6"/>
        <v>2.05156267724003</v>
      </c>
      <c r="U37">
        <f t="shared" si="15"/>
        <v>1.910423638553528</v>
      </c>
      <c r="AO37" s="109">
        <v>79</v>
      </c>
      <c r="AP37" s="109">
        <v>177.66</v>
      </c>
      <c r="AQ37" s="110"/>
      <c r="AR37" s="110"/>
      <c r="AS37" s="110"/>
      <c r="AT37" s="120">
        <v>490</v>
      </c>
      <c r="AU37" s="120"/>
      <c r="AV37" s="114"/>
      <c r="AX37" s="109">
        <v>79</v>
      </c>
      <c r="AY37">
        <f t="shared" si="7"/>
        <v>2.2495896577729426</v>
      </c>
      <c r="BC37">
        <f t="shared" si="9"/>
        <v>2.690196080028514</v>
      </c>
      <c r="BJ37" s="109">
        <v>19</v>
      </c>
      <c r="BK37" s="109"/>
      <c r="BL37" s="110">
        <v>1738.8</v>
      </c>
      <c r="BM37" s="110">
        <v>42</v>
      </c>
      <c r="BN37" s="110"/>
      <c r="BO37" s="110"/>
      <c r="BP37" s="110"/>
      <c r="BQ37" s="110"/>
      <c r="BU37" s="109">
        <f t="shared" si="10"/>
        <v>19</v>
      </c>
      <c r="BV37" s="109"/>
      <c r="BW37" s="105">
        <f t="shared" si="11"/>
        <v>3.2402496315187994</v>
      </c>
      <c r="BX37" s="105">
        <f t="shared" si="12"/>
        <v>1.6232492903979006</v>
      </c>
      <c r="BY37" s="110"/>
      <c r="BZ37" s="110"/>
      <c r="CA37" s="110"/>
      <c r="CB37" s="110"/>
    </row>
    <row r="38" spans="3:80" ht="13.5" thickBot="1">
      <c r="C38" s="109">
        <f t="shared" si="13"/>
        <v>18</v>
      </c>
      <c r="D38" s="109"/>
      <c r="E38" s="110">
        <v>3133</v>
      </c>
      <c r="F38" s="110">
        <v>24</v>
      </c>
      <c r="G38" s="110"/>
      <c r="H38" s="110"/>
      <c r="I38" s="110"/>
      <c r="J38" s="110"/>
      <c r="L38">
        <f t="shared" si="14"/>
        <v>1.380211241711606</v>
      </c>
      <c r="N38" t="s">
        <v>323</v>
      </c>
      <c r="O38">
        <v>55.7</v>
      </c>
      <c r="P38">
        <v>2078</v>
      </c>
      <c r="Q38">
        <f t="shared" si="3"/>
        <v>37.307001795332134</v>
      </c>
      <c r="R38">
        <f t="shared" si="4"/>
        <v>1.745855195173729</v>
      </c>
      <c r="S38">
        <f t="shared" si="5"/>
        <v>3.3176455432211585</v>
      </c>
      <c r="T38">
        <f t="shared" si="6"/>
        <v>1.9002982334345442</v>
      </c>
      <c r="U38">
        <f t="shared" si="15"/>
        <v>1.5188312371221553</v>
      </c>
      <c r="AO38" s="109">
        <v>80</v>
      </c>
      <c r="AP38" s="109">
        <v>234.06</v>
      </c>
      <c r="AQ38" s="110"/>
      <c r="AR38" s="110"/>
      <c r="AS38" s="110"/>
      <c r="AT38" s="120">
        <v>908</v>
      </c>
      <c r="AU38" s="120"/>
      <c r="AV38" s="114"/>
      <c r="AX38" s="109">
        <v>80</v>
      </c>
      <c r="AY38">
        <f t="shared" si="7"/>
        <v>2.369327200695435</v>
      </c>
      <c r="BC38">
        <f t="shared" si="9"/>
        <v>2.958085848521085</v>
      </c>
      <c r="BJ38" s="111">
        <v>20</v>
      </c>
      <c r="BK38" s="111"/>
      <c r="BL38" s="112">
        <v>1764</v>
      </c>
      <c r="BM38" s="112">
        <v>41</v>
      </c>
      <c r="BN38" s="112"/>
      <c r="BO38" s="112"/>
      <c r="BP38" s="112"/>
      <c r="BQ38" s="112"/>
      <c r="BU38" s="111">
        <f t="shared" si="10"/>
        <v>20</v>
      </c>
      <c r="BV38" s="111"/>
      <c r="BW38" s="105">
        <f t="shared" si="11"/>
        <v>3.246498580795801</v>
      </c>
      <c r="BX38" s="105">
        <f t="shared" si="12"/>
        <v>1.6127838567197355</v>
      </c>
      <c r="BY38" s="112"/>
      <c r="BZ38" s="112"/>
      <c r="CA38" s="112"/>
      <c r="CB38" s="112"/>
    </row>
    <row r="39" spans="3:80" ht="12.75">
      <c r="C39" s="109">
        <f t="shared" si="13"/>
        <v>19</v>
      </c>
      <c r="D39" s="109"/>
      <c r="E39" s="110">
        <v>1738.8</v>
      </c>
      <c r="F39" s="110">
        <v>42</v>
      </c>
      <c r="G39" s="110"/>
      <c r="H39" s="110"/>
      <c r="I39" s="110"/>
      <c r="J39" s="110"/>
      <c r="L39">
        <f t="shared" si="14"/>
        <v>1.6232492903979006</v>
      </c>
      <c r="N39" t="s">
        <v>324</v>
      </c>
      <c r="O39">
        <v>52.1</v>
      </c>
      <c r="P39">
        <v>2623</v>
      </c>
      <c r="Q39">
        <f t="shared" si="3"/>
        <v>50.34548944337812</v>
      </c>
      <c r="R39">
        <f t="shared" si="4"/>
        <v>1.7168377232995244</v>
      </c>
      <c r="S39">
        <f t="shared" si="5"/>
        <v>3.4187982905903533</v>
      </c>
      <c r="T39">
        <f t="shared" si="6"/>
        <v>1.991334558993669</v>
      </c>
      <c r="U39">
        <f t="shared" si="15"/>
        <v>1.640087898865417</v>
      </c>
      <c r="AO39" s="109">
        <v>81</v>
      </c>
      <c r="AP39" s="109">
        <v>277.34700000000004</v>
      </c>
      <c r="AQ39" s="110"/>
      <c r="AR39" s="110"/>
      <c r="AS39" s="110"/>
      <c r="AT39" s="120">
        <v>825</v>
      </c>
      <c r="AU39" s="120"/>
      <c r="AV39" s="114"/>
      <c r="AX39" s="109">
        <v>81</v>
      </c>
      <c r="AY39">
        <f t="shared" si="7"/>
        <v>2.443023472574717</v>
      </c>
      <c r="BC39">
        <f t="shared" si="9"/>
        <v>2.916453948549925</v>
      </c>
      <c r="BJ39" s="109"/>
      <c r="BK39" s="109" t="s">
        <v>835</v>
      </c>
      <c r="BL39" s="120">
        <f>AVERAGE(BL19:BL38)</f>
        <v>2642.78</v>
      </c>
      <c r="BM39" s="120">
        <f>AVERAGE(BM19:BM38)</f>
        <v>55.56500000000001</v>
      </c>
      <c r="BN39" s="110"/>
      <c r="BO39" s="110"/>
      <c r="BP39" s="110"/>
      <c r="BQ39" s="110"/>
      <c r="BU39" s="109"/>
      <c r="BV39" s="109" t="s">
        <v>835</v>
      </c>
      <c r="BW39" s="120">
        <f>AVERAGE(BW19:BW38)</f>
        <v>3.3960497095396343</v>
      </c>
      <c r="BX39" s="120">
        <f>AVERAGE(BX19:BX38)</f>
        <v>1.7133094311084034</v>
      </c>
      <c r="BY39" s="110"/>
      <c r="BZ39" s="110"/>
      <c r="CA39" s="110"/>
      <c r="CB39" s="110"/>
    </row>
    <row r="40" spans="3:80" ht="13.5" thickBot="1">
      <c r="C40" s="111">
        <f t="shared" si="13"/>
        <v>20</v>
      </c>
      <c r="D40" s="111"/>
      <c r="E40" s="112">
        <v>1764</v>
      </c>
      <c r="F40" s="112">
        <v>41</v>
      </c>
      <c r="G40" s="112"/>
      <c r="H40" s="112"/>
      <c r="I40" s="112"/>
      <c r="J40" s="112"/>
      <c r="L40">
        <f t="shared" si="14"/>
        <v>1.6127838567197355</v>
      </c>
      <c r="N40" t="s">
        <v>325</v>
      </c>
      <c r="O40">
        <v>46.7</v>
      </c>
      <c r="P40">
        <v>2936</v>
      </c>
      <c r="Q40">
        <f t="shared" si="3"/>
        <v>62.86937901498929</v>
      </c>
      <c r="R40">
        <f t="shared" si="4"/>
        <v>1.6693168805661123</v>
      </c>
      <c r="S40">
        <f t="shared" si="5"/>
        <v>3.467756051244033</v>
      </c>
      <c r="T40">
        <f t="shared" si="6"/>
        <v>2.077350377040469</v>
      </c>
      <c r="U40">
        <f t="shared" si="15"/>
        <v>1.5717903480474298</v>
      </c>
      <c r="AO40" s="109">
        <v>82</v>
      </c>
      <c r="AP40" s="109">
        <v>470.51699999999994</v>
      </c>
      <c r="AQ40" s="110"/>
      <c r="AR40" s="110"/>
      <c r="AS40" s="110"/>
      <c r="AT40" s="120">
        <v>1004</v>
      </c>
      <c r="AU40" s="120"/>
      <c r="AV40" s="114"/>
      <c r="AX40" s="109">
        <v>82</v>
      </c>
      <c r="AY40">
        <f t="shared" si="7"/>
        <v>2.6725753193101727</v>
      </c>
      <c r="BC40">
        <f t="shared" si="9"/>
        <v>3.0017337128090005</v>
      </c>
      <c r="BJ40" s="109"/>
      <c r="BK40" s="109" t="s">
        <v>411</v>
      </c>
      <c r="BL40" s="120">
        <f>STDEV(BL19:BL38)</f>
        <v>961.5543948814271</v>
      </c>
      <c r="BM40" s="120">
        <f>STDEV(BM19:BM38)</f>
        <v>20.895284660722627</v>
      </c>
      <c r="BN40" s="110"/>
      <c r="BO40" s="110"/>
      <c r="BP40" s="110"/>
      <c r="BQ40" s="110"/>
      <c r="BU40" s="109"/>
      <c r="BV40" s="109" t="s">
        <v>411</v>
      </c>
      <c r="BW40" s="120">
        <f>STDEV(BW19:BW38)</f>
        <v>0.1539853198022353</v>
      </c>
      <c r="BX40" s="120">
        <f>STDEV(BX19:BX38)</f>
        <v>0.1747427140160713</v>
      </c>
      <c r="BY40" s="110"/>
      <c r="BZ40" s="110"/>
      <c r="CA40" s="110"/>
      <c r="CB40" s="110"/>
    </row>
    <row r="41" spans="3:55" ht="13.5" thickBot="1">
      <c r="C41" s="104">
        <f>C40+1</f>
        <v>21</v>
      </c>
      <c r="D41" s="104"/>
      <c r="E41" s="105"/>
      <c r="F41" s="105">
        <v>52.5</v>
      </c>
      <c r="G41" s="105"/>
      <c r="H41" s="105"/>
      <c r="I41" s="105"/>
      <c r="J41" s="113"/>
      <c r="L41">
        <f t="shared" si="14"/>
        <v>1.7201593034059568</v>
      </c>
      <c r="N41" t="s">
        <v>326</v>
      </c>
      <c r="O41">
        <v>50</v>
      </c>
      <c r="P41">
        <v>3455</v>
      </c>
      <c r="Q41">
        <f t="shared" si="3"/>
        <v>69.1</v>
      </c>
      <c r="R41">
        <f t="shared" si="4"/>
        <v>1.6989700043360187</v>
      </c>
      <c r="S41">
        <f t="shared" si="5"/>
        <v>3.5384480517102173</v>
      </c>
      <c r="T41">
        <f t="shared" si="6"/>
        <v>2.0827018974317277</v>
      </c>
      <c r="U41">
        <f t="shared" si="15"/>
        <v>1.7019605672908291</v>
      </c>
      <c r="AO41" s="111">
        <v>83</v>
      </c>
      <c r="AP41" s="111">
        <v>658.47</v>
      </c>
      <c r="AQ41" s="112"/>
      <c r="AR41" s="112"/>
      <c r="AS41" s="112"/>
      <c r="AT41" s="121">
        <v>2936</v>
      </c>
      <c r="AU41" s="121"/>
      <c r="AV41" s="115"/>
      <c r="AX41" s="111">
        <v>83</v>
      </c>
      <c r="AY41">
        <f t="shared" si="7"/>
        <v>2.818535993221492</v>
      </c>
      <c r="BC41">
        <f t="shared" si="9"/>
        <v>3.467756051244033</v>
      </c>
    </row>
    <row r="42" spans="3:21" ht="12.75">
      <c r="C42" s="109">
        <f t="shared" si="13"/>
        <v>22</v>
      </c>
      <c r="D42" s="109"/>
      <c r="E42" s="110"/>
      <c r="F42" s="110">
        <v>94</v>
      </c>
      <c r="G42" s="110"/>
      <c r="H42" s="110"/>
      <c r="I42" s="110"/>
      <c r="J42" s="114"/>
      <c r="L42">
        <f t="shared" si="14"/>
        <v>1.9731278535996986</v>
      </c>
      <c r="U42">
        <f t="shared" si="15"/>
        <v>1.7984391706779208</v>
      </c>
    </row>
    <row r="43" spans="1:55" ht="12.75">
      <c r="A43" t="s">
        <v>295</v>
      </c>
      <c r="B43" t="s">
        <v>294</v>
      </c>
      <c r="C43" s="109">
        <f t="shared" si="13"/>
        <v>23</v>
      </c>
      <c r="D43" s="109"/>
      <c r="E43" s="110"/>
      <c r="F43" s="110">
        <v>46.5</v>
      </c>
      <c r="G43" s="110"/>
      <c r="H43" s="110"/>
      <c r="I43" s="110"/>
      <c r="J43" s="114"/>
      <c r="L43">
        <f t="shared" si="14"/>
        <v>1.667452952889954</v>
      </c>
      <c r="N43" t="s">
        <v>835</v>
      </c>
      <c r="O43">
        <f aca="true" t="shared" si="21" ref="O43:T43">AVERAGE(O19:O41)</f>
        <v>28.238695652173913</v>
      </c>
      <c r="P43">
        <f t="shared" si="21"/>
        <v>1588.695652173913</v>
      </c>
      <c r="Q43">
        <f t="shared" si="21"/>
        <v>60.15607606918034</v>
      </c>
      <c r="R43">
        <f t="shared" si="21"/>
        <v>1.4087331216430738</v>
      </c>
      <c r="S43">
        <f t="shared" si="21"/>
        <v>3.1456235141761018</v>
      </c>
      <c r="T43">
        <f t="shared" si="21"/>
        <v>2.2611316104381687</v>
      </c>
      <c r="U43">
        <f t="shared" si="15"/>
        <v>1.8394780473741983</v>
      </c>
      <c r="AP43">
        <f>AVERAGE(AP19:AP41)</f>
        <v>398.16560869565217</v>
      </c>
      <c r="AR43">
        <f>AVERAGE(AR19:AR33)</f>
        <v>56.96666666666667</v>
      </c>
      <c r="AT43">
        <f>AVERAGE(AT19:AT41)</f>
        <v>1588.695652173913</v>
      </c>
      <c r="AY43">
        <f>AVERAGE(AY19:AY41)</f>
        <v>2.557952234298454</v>
      </c>
      <c r="BA43">
        <f>AVERAGE(BA19:BA33)</f>
        <v>1.6875018713609395</v>
      </c>
      <c r="BC43">
        <f>AVERAGE(BC19:BC41)</f>
        <v>3.145623514176102</v>
      </c>
    </row>
    <row r="44" spans="3:55" ht="12.75">
      <c r="C44" s="109">
        <f t="shared" si="13"/>
        <v>24</v>
      </c>
      <c r="D44" s="109"/>
      <c r="E44" s="110"/>
      <c r="F44" s="110">
        <v>90</v>
      </c>
      <c r="G44" s="110"/>
      <c r="H44" s="110"/>
      <c r="I44" s="110"/>
      <c r="J44" s="114"/>
      <c r="L44">
        <f t="shared" si="14"/>
        <v>1.954242509439325</v>
      </c>
      <c r="N44" t="s">
        <v>411</v>
      </c>
      <c r="O44">
        <f aca="true" t="shared" si="22" ref="O44:T44">STDEV(O19:O41)</f>
        <v>12.927899113702548</v>
      </c>
      <c r="P44">
        <f t="shared" si="22"/>
        <v>840.2934246593221</v>
      </c>
      <c r="Q44">
        <f t="shared" si="22"/>
        <v>32.89969809147167</v>
      </c>
      <c r="R44">
        <f t="shared" si="22"/>
        <v>0.19511355708309333</v>
      </c>
      <c r="S44">
        <f t="shared" si="22"/>
        <v>0.2244776309024686</v>
      </c>
      <c r="T44">
        <f t="shared" si="22"/>
        <v>0.2535802260139028</v>
      </c>
      <c r="AP44">
        <f>STDEV(AP19:AP41)</f>
        <v>182.28337750320614</v>
      </c>
      <c r="AR44">
        <f>STDEV(AR19:AR33)</f>
        <v>28.239072897232973</v>
      </c>
      <c r="AT44">
        <f>STDEV(AT19:AT41)</f>
        <v>840.2934246593221</v>
      </c>
      <c r="AY44" s="1">
        <f>STDEV(AY19:AY41)</f>
        <v>0.1951135570830867</v>
      </c>
      <c r="BA44" s="1">
        <f>STDEV(BA19:BA33)</f>
        <v>0.2774025061453293</v>
      </c>
      <c r="BC44" s="1">
        <f>STDEV(BC19:BC41)</f>
        <v>0.22447763090245998</v>
      </c>
    </row>
    <row r="45" spans="3:21" ht="12.75">
      <c r="C45" s="109">
        <f t="shared" si="13"/>
        <v>25</v>
      </c>
      <c r="D45" s="109"/>
      <c r="E45" s="110"/>
      <c r="F45" s="110">
        <v>11</v>
      </c>
      <c r="G45" s="110"/>
      <c r="H45" s="110"/>
      <c r="I45" s="110"/>
      <c r="J45" s="114"/>
      <c r="L45">
        <f t="shared" si="14"/>
        <v>1.0413926851582251</v>
      </c>
      <c r="N45" t="s">
        <v>412</v>
      </c>
      <c r="O45">
        <f>O44/O43</f>
        <v>0.45780794102320066</v>
      </c>
      <c r="P45">
        <f>P44/P43</f>
        <v>0.5289203275086045</v>
      </c>
      <c r="Q45">
        <f>Q44/Q43</f>
        <v>0.5469056534478172</v>
      </c>
      <c r="U45">
        <f>AVERAGE(U21:U43)</f>
        <v>1.7368903925330286</v>
      </c>
    </row>
    <row r="46" spans="3:22" ht="12.75">
      <c r="C46" s="109">
        <f t="shared" si="13"/>
        <v>26</v>
      </c>
      <c r="D46" s="109"/>
      <c r="E46" s="110"/>
      <c r="F46" s="110">
        <v>64</v>
      </c>
      <c r="G46" s="110"/>
      <c r="H46" s="110"/>
      <c r="I46" s="110"/>
      <c r="J46" s="114"/>
      <c r="L46">
        <f t="shared" si="14"/>
        <v>1.806179973983887</v>
      </c>
      <c r="U46">
        <f>STDEV(U21:U43)</f>
        <v>0.1816084689541387</v>
      </c>
      <c r="V46">
        <f>U46^2</f>
        <v>0.032981635995866364</v>
      </c>
    </row>
    <row r="47" spans="3:12" ht="12.75">
      <c r="C47" s="109">
        <f t="shared" si="13"/>
        <v>27</v>
      </c>
      <c r="D47" s="109"/>
      <c r="E47" s="110"/>
      <c r="F47" s="110">
        <v>41</v>
      </c>
      <c r="G47" s="110"/>
      <c r="H47" s="110"/>
      <c r="I47" s="110"/>
      <c r="J47" s="114"/>
      <c r="L47">
        <f t="shared" si="14"/>
        <v>1.6127838567197355</v>
      </c>
    </row>
    <row r="48" spans="3:12" ht="12.75">
      <c r="C48" s="109">
        <f t="shared" si="13"/>
        <v>28</v>
      </c>
      <c r="D48" s="109"/>
      <c r="E48" s="110"/>
      <c r="F48" s="110">
        <v>64</v>
      </c>
      <c r="G48" s="110"/>
      <c r="H48" s="110"/>
      <c r="I48" s="110"/>
      <c r="J48" s="114"/>
      <c r="L48">
        <f t="shared" si="14"/>
        <v>1.806179973983887</v>
      </c>
    </row>
    <row r="49" spans="3:12" ht="12.75">
      <c r="C49" s="109">
        <f t="shared" si="13"/>
        <v>29</v>
      </c>
      <c r="D49" s="109"/>
      <c r="E49" s="110"/>
      <c r="F49" s="110">
        <v>30</v>
      </c>
      <c r="G49" s="110"/>
      <c r="H49" s="110"/>
      <c r="I49" s="110"/>
      <c r="J49" s="114"/>
      <c r="L49">
        <f t="shared" si="14"/>
        <v>1.4771212547196624</v>
      </c>
    </row>
    <row r="50" spans="3:12" ht="12.75">
      <c r="C50" s="109">
        <f t="shared" si="13"/>
        <v>30</v>
      </c>
      <c r="D50" s="109"/>
      <c r="E50" s="110"/>
      <c r="F50" s="110">
        <v>57.5</v>
      </c>
      <c r="G50" s="110"/>
      <c r="H50" s="110"/>
      <c r="I50" s="110"/>
      <c r="J50" s="114"/>
      <c r="L50">
        <f t="shared" si="14"/>
        <v>1.7596678446896306</v>
      </c>
    </row>
    <row r="51" spans="3:12" ht="12.75">
      <c r="C51" s="109">
        <f t="shared" si="13"/>
        <v>31</v>
      </c>
      <c r="D51" s="109"/>
      <c r="E51" s="110"/>
      <c r="F51" s="110">
        <v>35.5</v>
      </c>
      <c r="G51" s="110"/>
      <c r="H51" s="110"/>
      <c r="I51" s="110"/>
      <c r="J51" s="114"/>
      <c r="L51">
        <f t="shared" si="14"/>
        <v>1.550228353055094</v>
      </c>
    </row>
    <row r="52" spans="3:12" ht="12.75">
      <c r="C52" s="109">
        <f t="shared" si="13"/>
        <v>32</v>
      </c>
      <c r="D52" s="109"/>
      <c r="E52" s="110"/>
      <c r="F52" s="110">
        <v>55</v>
      </c>
      <c r="G52" s="110"/>
      <c r="H52" s="110"/>
      <c r="I52" s="110"/>
      <c r="J52" s="114"/>
      <c r="L52">
        <f t="shared" si="14"/>
        <v>1.7403626894942439</v>
      </c>
    </row>
    <row r="53" spans="3:12" ht="12.75">
      <c r="C53" s="109">
        <f t="shared" si="13"/>
        <v>33</v>
      </c>
      <c r="D53" s="109"/>
      <c r="E53" s="110"/>
      <c r="F53" s="110">
        <v>52</v>
      </c>
      <c r="G53" s="110"/>
      <c r="H53" s="110"/>
      <c r="I53" s="110"/>
      <c r="J53" s="114"/>
      <c r="L53">
        <f t="shared" si="14"/>
        <v>1.7160033436347992</v>
      </c>
    </row>
    <row r="54" spans="3:12" ht="12.75">
      <c r="C54" s="109">
        <f t="shared" si="13"/>
        <v>34</v>
      </c>
      <c r="D54" s="109"/>
      <c r="E54" s="110"/>
      <c r="F54" s="110">
        <v>29</v>
      </c>
      <c r="G54" s="110"/>
      <c r="H54" s="110"/>
      <c r="I54" s="110"/>
      <c r="J54" s="114"/>
      <c r="L54">
        <f t="shared" si="14"/>
        <v>1.462397997898956</v>
      </c>
    </row>
    <row r="55" spans="3:12" ht="12.75">
      <c r="C55" s="109">
        <f t="shared" si="13"/>
        <v>35</v>
      </c>
      <c r="D55" s="109"/>
      <c r="E55" s="110"/>
      <c r="F55" s="110">
        <v>39</v>
      </c>
      <c r="G55" s="110"/>
      <c r="H55" s="110"/>
      <c r="I55" s="110"/>
      <c r="J55" s="114"/>
      <c r="L55">
        <f t="shared" si="14"/>
        <v>1.591064607026499</v>
      </c>
    </row>
    <row r="56" spans="3:12" ht="12.75">
      <c r="C56" s="109">
        <f t="shared" si="13"/>
        <v>36</v>
      </c>
      <c r="D56" s="109"/>
      <c r="E56" s="110"/>
      <c r="F56" s="110">
        <v>39</v>
      </c>
      <c r="G56" s="110"/>
      <c r="H56" s="110"/>
      <c r="I56" s="110"/>
      <c r="J56" s="114"/>
      <c r="L56">
        <f t="shared" si="14"/>
        <v>1.591064607026499</v>
      </c>
    </row>
    <row r="57" spans="3:12" ht="12.75">
      <c r="C57" s="109">
        <f t="shared" si="13"/>
        <v>37</v>
      </c>
      <c r="D57" s="109"/>
      <c r="E57" s="110"/>
      <c r="F57" s="110">
        <v>73</v>
      </c>
      <c r="G57" s="110"/>
      <c r="H57" s="110"/>
      <c r="I57" s="110"/>
      <c r="J57" s="114"/>
      <c r="L57">
        <f t="shared" si="14"/>
        <v>1.863322860120456</v>
      </c>
    </row>
    <row r="58" spans="3:12" ht="12.75">
      <c r="C58" s="109">
        <f t="shared" si="13"/>
        <v>38</v>
      </c>
      <c r="D58" s="109"/>
      <c r="E58" s="110"/>
      <c r="F58" s="110">
        <v>70</v>
      </c>
      <c r="G58" s="110"/>
      <c r="H58" s="110"/>
      <c r="I58" s="110"/>
      <c r="J58" s="114"/>
      <c r="L58">
        <f t="shared" si="14"/>
        <v>1.845098040014257</v>
      </c>
    </row>
    <row r="59" spans="3:12" ht="12.75">
      <c r="C59" s="109">
        <f t="shared" si="13"/>
        <v>39</v>
      </c>
      <c r="D59" s="109"/>
      <c r="E59" s="110"/>
      <c r="F59" s="110">
        <v>130</v>
      </c>
      <c r="G59" s="110"/>
      <c r="H59" s="110"/>
      <c r="I59" s="110"/>
      <c r="J59" s="114"/>
      <c r="L59">
        <f t="shared" si="14"/>
        <v>2.113943352306837</v>
      </c>
    </row>
    <row r="60" spans="3:12" ht="12.75">
      <c r="C60" s="109">
        <f t="shared" si="13"/>
        <v>40</v>
      </c>
      <c r="D60" s="109"/>
      <c r="E60" s="110"/>
      <c r="F60" s="110">
        <v>34</v>
      </c>
      <c r="G60" s="110"/>
      <c r="H60" s="110"/>
      <c r="I60" s="110"/>
      <c r="J60" s="114"/>
      <c r="L60">
        <f t="shared" si="14"/>
        <v>1.5314789170422551</v>
      </c>
    </row>
    <row r="61" spans="3:12" ht="12.75">
      <c r="C61" s="109">
        <f t="shared" si="13"/>
        <v>41</v>
      </c>
      <c r="D61" s="109"/>
      <c r="E61" s="110"/>
      <c r="F61" s="110">
        <v>31</v>
      </c>
      <c r="G61" s="110"/>
      <c r="H61" s="110"/>
      <c r="I61" s="110"/>
      <c r="J61" s="114"/>
      <c r="L61">
        <f t="shared" si="14"/>
        <v>1.4913616938342726</v>
      </c>
    </row>
    <row r="62" spans="3:12" ht="12.75">
      <c r="C62" s="109">
        <f t="shared" si="13"/>
        <v>42</v>
      </c>
      <c r="D62" s="109"/>
      <c r="E62" s="110"/>
      <c r="F62" s="110">
        <v>48</v>
      </c>
      <c r="G62" s="110"/>
      <c r="H62" s="110"/>
      <c r="I62" s="110"/>
      <c r="J62" s="114"/>
      <c r="L62">
        <f t="shared" si="14"/>
        <v>1.6812412373755872</v>
      </c>
    </row>
    <row r="63" spans="3:12" ht="12.75">
      <c r="C63" s="109">
        <f t="shared" si="13"/>
        <v>43</v>
      </c>
      <c r="D63" s="109"/>
      <c r="E63" s="110"/>
      <c r="F63" s="110">
        <v>29.5</v>
      </c>
      <c r="G63" s="110"/>
      <c r="H63" s="110"/>
      <c r="I63" s="110"/>
      <c r="J63" s="114"/>
      <c r="L63">
        <f t="shared" si="14"/>
        <v>1.469822015978163</v>
      </c>
    </row>
    <row r="64" spans="3:12" ht="12.75">
      <c r="C64" s="109">
        <f t="shared" si="13"/>
        <v>44</v>
      </c>
      <c r="D64" s="109"/>
      <c r="E64" s="110"/>
      <c r="F64" s="110">
        <v>19</v>
      </c>
      <c r="G64" s="110"/>
      <c r="H64" s="110"/>
      <c r="I64" s="110"/>
      <c r="J64" s="114"/>
      <c r="L64">
        <f t="shared" si="14"/>
        <v>1.2787536009528289</v>
      </c>
    </row>
    <row r="65" spans="3:12" ht="12.75">
      <c r="C65" s="109">
        <f t="shared" si="13"/>
        <v>45</v>
      </c>
      <c r="D65" s="109"/>
      <c r="E65" s="110"/>
      <c r="F65" s="110">
        <v>77</v>
      </c>
      <c r="G65" s="110"/>
      <c r="H65" s="110"/>
      <c r="I65" s="110"/>
      <c r="J65" s="114"/>
      <c r="L65">
        <f t="shared" si="14"/>
        <v>1.8864907251724818</v>
      </c>
    </row>
    <row r="66" spans="3:12" ht="12.75">
      <c r="C66" s="109">
        <f t="shared" si="13"/>
        <v>46</v>
      </c>
      <c r="D66" s="109"/>
      <c r="E66" s="110"/>
      <c r="F66" s="110">
        <v>91</v>
      </c>
      <c r="G66" s="110"/>
      <c r="H66" s="110"/>
      <c r="I66" s="110"/>
      <c r="J66" s="114"/>
      <c r="L66">
        <f t="shared" si="14"/>
        <v>1.9590413923210936</v>
      </c>
    </row>
    <row r="67" spans="3:12" ht="12.75">
      <c r="C67" s="109">
        <f t="shared" si="13"/>
        <v>47</v>
      </c>
      <c r="D67" s="109"/>
      <c r="E67" s="110"/>
      <c r="F67" s="110">
        <v>37</v>
      </c>
      <c r="G67" s="110"/>
      <c r="H67" s="110"/>
      <c r="I67" s="110"/>
      <c r="J67" s="114"/>
      <c r="L67">
        <f t="shared" si="14"/>
        <v>1.568201724066995</v>
      </c>
    </row>
    <row r="68" spans="3:12" ht="12.75">
      <c r="C68" s="109">
        <f t="shared" si="13"/>
        <v>48</v>
      </c>
      <c r="D68" s="109"/>
      <c r="E68" s="110"/>
      <c r="F68" s="110">
        <v>74</v>
      </c>
      <c r="G68" s="110"/>
      <c r="H68" s="110"/>
      <c r="I68" s="110"/>
      <c r="J68" s="114"/>
      <c r="L68">
        <f t="shared" si="14"/>
        <v>1.8692317197309762</v>
      </c>
    </row>
    <row r="69" spans="3:12" ht="12.75">
      <c r="C69" s="109">
        <f t="shared" si="13"/>
        <v>49</v>
      </c>
      <c r="D69" s="109"/>
      <c r="E69" s="110"/>
      <c r="F69" s="110">
        <v>44</v>
      </c>
      <c r="G69" s="110"/>
      <c r="H69" s="110"/>
      <c r="I69" s="110"/>
      <c r="J69" s="114"/>
      <c r="L69">
        <f t="shared" si="14"/>
        <v>1.6434526764861874</v>
      </c>
    </row>
    <row r="70" spans="3:12" ht="12.75">
      <c r="C70" s="109">
        <f t="shared" si="13"/>
        <v>50</v>
      </c>
      <c r="D70" s="109"/>
      <c r="E70" s="110"/>
      <c r="F70" s="110">
        <v>50</v>
      </c>
      <c r="G70" s="110"/>
      <c r="H70" s="110"/>
      <c r="I70" s="110"/>
      <c r="J70" s="114"/>
      <c r="L70">
        <f t="shared" si="14"/>
        <v>1.6989700043360187</v>
      </c>
    </row>
    <row r="71" spans="3:12" ht="12.75">
      <c r="C71" s="109">
        <f t="shared" si="13"/>
        <v>51</v>
      </c>
      <c r="D71" s="109"/>
      <c r="E71" s="110"/>
      <c r="F71" s="110">
        <v>75</v>
      </c>
      <c r="G71" s="110"/>
      <c r="H71" s="110"/>
      <c r="I71" s="110"/>
      <c r="J71" s="114"/>
      <c r="L71">
        <f t="shared" si="14"/>
        <v>1.8750612633917</v>
      </c>
    </row>
    <row r="72" spans="3:12" ht="12.75">
      <c r="C72" s="109">
        <f t="shared" si="13"/>
        <v>52</v>
      </c>
      <c r="D72" s="109"/>
      <c r="E72" s="110"/>
      <c r="F72" s="110">
        <v>29.5</v>
      </c>
      <c r="G72" s="110"/>
      <c r="H72" s="110"/>
      <c r="I72" s="110"/>
      <c r="J72" s="114"/>
      <c r="L72">
        <f t="shared" si="14"/>
        <v>1.469822015978163</v>
      </c>
    </row>
    <row r="73" spans="3:12" ht="12.75">
      <c r="C73" s="109">
        <f t="shared" si="13"/>
        <v>53</v>
      </c>
      <c r="D73" s="109"/>
      <c r="E73" s="110"/>
      <c r="F73" s="110">
        <v>69</v>
      </c>
      <c r="G73" s="110"/>
      <c r="H73" s="110"/>
      <c r="I73" s="110"/>
      <c r="J73" s="114"/>
      <c r="L73">
        <f t="shared" si="14"/>
        <v>1.8388490907372552</v>
      </c>
    </row>
    <row r="74" spans="3:12" ht="12.75">
      <c r="C74" s="109">
        <f t="shared" si="13"/>
        <v>54</v>
      </c>
      <c r="D74" s="109"/>
      <c r="E74" s="110"/>
      <c r="F74" s="110">
        <v>91</v>
      </c>
      <c r="G74" s="110"/>
      <c r="H74" s="110"/>
      <c r="I74" s="110"/>
      <c r="J74" s="114"/>
      <c r="L74">
        <f t="shared" si="14"/>
        <v>1.9590413923210936</v>
      </c>
    </row>
    <row r="75" spans="3:12" ht="12.75">
      <c r="C75" s="109">
        <f t="shared" si="13"/>
        <v>55</v>
      </c>
      <c r="D75" s="109"/>
      <c r="E75" s="110"/>
      <c r="F75" s="110">
        <v>48</v>
      </c>
      <c r="G75" s="110"/>
      <c r="H75" s="110"/>
      <c r="I75" s="110"/>
      <c r="J75" s="114"/>
      <c r="L75">
        <f t="shared" si="14"/>
        <v>1.6812412373755872</v>
      </c>
    </row>
    <row r="76" spans="3:12" ht="12.75">
      <c r="C76" s="109">
        <f t="shared" si="13"/>
        <v>56</v>
      </c>
      <c r="D76" s="109"/>
      <c r="E76" s="110"/>
      <c r="F76" s="110">
        <v>36</v>
      </c>
      <c r="G76" s="110"/>
      <c r="H76" s="110"/>
      <c r="I76" s="110"/>
      <c r="J76" s="114"/>
      <c r="L76">
        <f t="shared" si="14"/>
        <v>1.5563025007672873</v>
      </c>
    </row>
    <row r="77" spans="3:12" ht="12.75">
      <c r="C77" s="109">
        <f t="shared" si="13"/>
        <v>57</v>
      </c>
      <c r="D77" s="109"/>
      <c r="E77" s="110"/>
      <c r="F77" s="110">
        <v>41</v>
      </c>
      <c r="G77" s="110"/>
      <c r="H77" s="110"/>
      <c r="I77" s="110"/>
      <c r="J77" s="114"/>
      <c r="L77">
        <f t="shared" si="14"/>
        <v>1.6127838567197355</v>
      </c>
    </row>
    <row r="78" spans="3:12" ht="12.75">
      <c r="C78" s="109">
        <f t="shared" si="13"/>
        <v>58</v>
      </c>
      <c r="D78" s="109"/>
      <c r="E78" s="110"/>
      <c r="F78" s="110">
        <v>26</v>
      </c>
      <c r="G78" s="110"/>
      <c r="H78" s="110"/>
      <c r="I78" s="110"/>
      <c r="J78" s="114"/>
      <c r="L78">
        <f t="shared" si="14"/>
        <v>1.414973347970818</v>
      </c>
    </row>
    <row r="79" spans="3:12" ht="12.75">
      <c r="C79" s="109">
        <f t="shared" si="13"/>
        <v>59</v>
      </c>
      <c r="D79" s="109"/>
      <c r="E79" s="110"/>
      <c r="F79" s="110">
        <v>26</v>
      </c>
      <c r="G79" s="110"/>
      <c r="H79" s="110"/>
      <c r="I79" s="110"/>
      <c r="J79" s="114"/>
      <c r="L79">
        <f t="shared" si="14"/>
        <v>1.414973347970818</v>
      </c>
    </row>
    <row r="80" spans="3:12" ht="13.5" thickBot="1">
      <c r="C80" s="111">
        <f t="shared" si="13"/>
        <v>60</v>
      </c>
      <c r="D80" s="111"/>
      <c r="E80" s="112"/>
      <c r="F80" s="112">
        <v>53</v>
      </c>
      <c r="G80" s="112"/>
      <c r="H80" s="112"/>
      <c r="I80" s="112"/>
      <c r="J80" s="115"/>
      <c r="L80">
        <f t="shared" si="14"/>
        <v>1.724275869600789</v>
      </c>
    </row>
    <row r="81" spans="3:12" ht="12.75">
      <c r="C81" s="104">
        <f t="shared" si="13"/>
        <v>61</v>
      </c>
      <c r="D81" s="104">
        <v>249.57</v>
      </c>
      <c r="E81" s="105"/>
      <c r="F81" s="105">
        <v>11</v>
      </c>
      <c r="G81" s="105"/>
      <c r="H81" s="116">
        <v>1113</v>
      </c>
      <c r="I81" s="116"/>
      <c r="J81" s="113"/>
      <c r="L81">
        <f t="shared" si="14"/>
        <v>1.0413926851582251</v>
      </c>
    </row>
    <row r="82" spans="3:12" ht="12.75">
      <c r="C82" s="109">
        <f t="shared" si="13"/>
        <v>62</v>
      </c>
      <c r="D82" s="109">
        <v>187.53</v>
      </c>
      <c r="E82" s="110"/>
      <c r="F82" s="110">
        <v>64</v>
      </c>
      <c r="G82" s="110"/>
      <c r="H82" s="117">
        <v>1724</v>
      </c>
      <c r="I82" s="117"/>
      <c r="J82" s="114"/>
      <c r="L82">
        <f t="shared" si="14"/>
        <v>1.806179973983887</v>
      </c>
    </row>
    <row r="83" spans="1:12" ht="12.75">
      <c r="A83" t="s">
        <v>296</v>
      </c>
      <c r="B83" t="s">
        <v>294</v>
      </c>
      <c r="C83" s="109">
        <f t="shared" si="13"/>
        <v>63</v>
      </c>
      <c r="D83" s="109">
        <v>243.93</v>
      </c>
      <c r="E83" s="110"/>
      <c r="F83" s="110">
        <v>44</v>
      </c>
      <c r="G83" s="110"/>
      <c r="H83" s="117">
        <v>1039</v>
      </c>
      <c r="I83" s="117"/>
      <c r="J83" s="114"/>
      <c r="L83">
        <f t="shared" si="14"/>
        <v>1.6434526764861874</v>
      </c>
    </row>
    <row r="84" spans="3:12" ht="12.75">
      <c r="C84" s="109">
        <f t="shared" si="13"/>
        <v>64</v>
      </c>
      <c r="D84" s="109">
        <v>276.36</v>
      </c>
      <c r="E84" s="110"/>
      <c r="F84" s="110">
        <v>50</v>
      </c>
      <c r="G84" s="110"/>
      <c r="H84" s="117">
        <v>1432</v>
      </c>
      <c r="I84" s="117"/>
      <c r="J84" s="114"/>
      <c r="L84">
        <f aca="true" t="shared" si="23" ref="L84:L94">LOG(F84)</f>
        <v>1.6989700043360187</v>
      </c>
    </row>
    <row r="85" spans="3:12" ht="12.75">
      <c r="C85" s="109">
        <f t="shared" si="13"/>
        <v>65</v>
      </c>
      <c r="D85" s="109">
        <v>403.26</v>
      </c>
      <c r="E85" s="110"/>
      <c r="F85" s="110">
        <v>52.5</v>
      </c>
      <c r="G85" s="110"/>
      <c r="H85" s="117">
        <v>1422</v>
      </c>
      <c r="I85" s="117"/>
      <c r="J85" s="114"/>
      <c r="L85">
        <f t="shared" si="23"/>
        <v>1.7201593034059568</v>
      </c>
    </row>
    <row r="86" spans="3:12" ht="12.75">
      <c r="C86" s="109">
        <f aca="true" t="shared" si="24" ref="C86:C113">C85+1</f>
        <v>66</v>
      </c>
      <c r="D86" s="109">
        <v>421.59</v>
      </c>
      <c r="E86" s="110"/>
      <c r="F86" s="110">
        <v>91</v>
      </c>
      <c r="G86" s="110"/>
      <c r="H86" s="117">
        <v>1746</v>
      </c>
      <c r="I86" s="117"/>
      <c r="J86" s="114"/>
      <c r="L86">
        <f t="shared" si="23"/>
        <v>1.9590413923210936</v>
      </c>
    </row>
    <row r="87" spans="3:12" ht="12.75">
      <c r="C87" s="109">
        <f t="shared" si="24"/>
        <v>67</v>
      </c>
      <c r="D87" s="109">
        <v>393.39</v>
      </c>
      <c r="E87" s="110"/>
      <c r="F87" s="110">
        <v>19</v>
      </c>
      <c r="G87" s="110"/>
      <c r="H87" s="117">
        <v>943</v>
      </c>
      <c r="I87" s="117"/>
      <c r="J87" s="114"/>
      <c r="L87">
        <f t="shared" si="23"/>
        <v>1.2787536009528289</v>
      </c>
    </row>
    <row r="88" spans="3:12" ht="12.75">
      <c r="C88" s="109">
        <f t="shared" si="24"/>
        <v>68</v>
      </c>
      <c r="D88" s="109">
        <v>439.92</v>
      </c>
      <c r="E88" s="110"/>
      <c r="F88" s="110">
        <v>77</v>
      </c>
      <c r="G88" s="110"/>
      <c r="H88" s="117">
        <v>1627</v>
      </c>
      <c r="I88" s="117"/>
      <c r="J88" s="114"/>
      <c r="L88">
        <f t="shared" si="23"/>
        <v>1.8864907251724818</v>
      </c>
    </row>
    <row r="89" spans="3:12" ht="12.75">
      <c r="C89" s="109">
        <f t="shared" si="24"/>
        <v>69</v>
      </c>
      <c r="D89" s="109">
        <v>493.5</v>
      </c>
      <c r="E89" s="110"/>
      <c r="F89" s="110">
        <v>37</v>
      </c>
      <c r="G89" s="110"/>
      <c r="H89" s="117">
        <v>1416</v>
      </c>
      <c r="I89" s="117"/>
      <c r="J89" s="114"/>
      <c r="L89">
        <f t="shared" si="23"/>
        <v>1.568201724066995</v>
      </c>
    </row>
    <row r="90" spans="3:12" ht="12.75">
      <c r="C90" s="109">
        <f t="shared" si="24"/>
        <v>70</v>
      </c>
      <c r="D90" s="109">
        <v>407.772</v>
      </c>
      <c r="E90" s="110"/>
      <c r="F90" s="110">
        <v>74</v>
      </c>
      <c r="G90" s="110"/>
      <c r="H90" s="117">
        <v>2353</v>
      </c>
      <c r="I90" s="117"/>
      <c r="J90" s="114"/>
      <c r="L90">
        <f t="shared" si="23"/>
        <v>1.8692317197309762</v>
      </c>
    </row>
    <row r="91" spans="3:12" ht="12.75">
      <c r="C91" s="109">
        <f t="shared" si="24"/>
        <v>71</v>
      </c>
      <c r="D91" s="109">
        <v>379.995</v>
      </c>
      <c r="E91" s="110"/>
      <c r="F91" s="110">
        <v>30</v>
      </c>
      <c r="G91" s="110"/>
      <c r="H91" s="117">
        <v>890</v>
      </c>
      <c r="I91" s="117"/>
      <c r="J91" s="114"/>
      <c r="L91">
        <f t="shared" si="23"/>
        <v>1.4771212547196624</v>
      </c>
    </row>
    <row r="92" spans="3:12" ht="12.75">
      <c r="C92" s="109">
        <f t="shared" si="24"/>
        <v>72</v>
      </c>
      <c r="D92" s="109">
        <v>511.548</v>
      </c>
      <c r="E92" s="110"/>
      <c r="F92" s="110">
        <v>30</v>
      </c>
      <c r="G92" s="110"/>
      <c r="H92" s="117">
        <v>1584</v>
      </c>
      <c r="I92" s="117"/>
      <c r="J92" s="114"/>
      <c r="L92">
        <f t="shared" si="23"/>
        <v>1.4771212547196624</v>
      </c>
    </row>
    <row r="93" spans="3:12" ht="12.75">
      <c r="C93" s="109">
        <f t="shared" si="24"/>
        <v>73</v>
      </c>
      <c r="D93" s="109">
        <v>785.37</v>
      </c>
      <c r="E93" s="110"/>
      <c r="F93" s="110">
        <v>94</v>
      </c>
      <c r="G93" s="110"/>
      <c r="H93" s="117">
        <v>2078</v>
      </c>
      <c r="I93" s="117"/>
      <c r="J93" s="114"/>
      <c r="L93">
        <f t="shared" si="23"/>
        <v>1.9731278535996986</v>
      </c>
    </row>
    <row r="94" spans="3:12" ht="13.5" thickBot="1">
      <c r="C94" s="109">
        <f t="shared" si="24"/>
        <v>74</v>
      </c>
      <c r="D94" s="109">
        <v>734.61</v>
      </c>
      <c r="E94" s="110"/>
      <c r="F94" s="110">
        <v>90</v>
      </c>
      <c r="G94" s="110"/>
      <c r="H94" s="117">
        <v>2623</v>
      </c>
      <c r="I94" s="117"/>
      <c r="J94" s="114"/>
      <c r="L94">
        <f t="shared" si="23"/>
        <v>1.954242509439325</v>
      </c>
    </row>
    <row r="95" spans="3:14" ht="13.5" thickBot="1">
      <c r="C95" s="111">
        <f t="shared" si="24"/>
        <v>75</v>
      </c>
      <c r="D95" s="111">
        <v>705</v>
      </c>
      <c r="E95" s="112"/>
      <c r="F95" s="112">
        <v>91</v>
      </c>
      <c r="G95" s="112"/>
      <c r="H95" s="118">
        <v>3455</v>
      </c>
      <c r="I95" s="118"/>
      <c r="J95" s="115"/>
      <c r="N95" s="105" t="s">
        <v>283</v>
      </c>
    </row>
    <row r="96" spans="3:14" ht="90">
      <c r="C96" s="104">
        <f t="shared" si="24"/>
        <v>76</v>
      </c>
      <c r="D96" s="104">
        <v>227.01</v>
      </c>
      <c r="E96" s="105"/>
      <c r="F96" s="105"/>
      <c r="G96" s="105"/>
      <c r="H96" s="119">
        <v>714</v>
      </c>
      <c r="I96" s="119"/>
      <c r="J96" s="113"/>
      <c r="N96" s="108" t="s">
        <v>291</v>
      </c>
    </row>
    <row r="97" spans="3:12" ht="12.75">
      <c r="C97" s="109">
        <f t="shared" si="24"/>
        <v>77</v>
      </c>
      <c r="D97" s="109">
        <v>214.32</v>
      </c>
      <c r="E97" s="110"/>
      <c r="F97" s="110"/>
      <c r="G97" s="110"/>
      <c r="H97" s="120">
        <v>909</v>
      </c>
      <c r="I97" s="120"/>
      <c r="J97" s="114"/>
      <c r="K97" t="s">
        <v>835</v>
      </c>
      <c r="L97">
        <f>AVERAGE(L21:L95)</f>
        <v>1.6829302566156588</v>
      </c>
    </row>
    <row r="98" spans="1:15" ht="13.5" thickBot="1">
      <c r="A98" t="s">
        <v>297</v>
      </c>
      <c r="B98" t="s">
        <v>294</v>
      </c>
      <c r="C98" s="109">
        <f t="shared" si="24"/>
        <v>78</v>
      </c>
      <c r="D98" s="109">
        <v>265.08</v>
      </c>
      <c r="E98" s="110"/>
      <c r="F98" s="110"/>
      <c r="G98" s="110"/>
      <c r="H98" s="120">
        <v>3309</v>
      </c>
      <c r="I98" s="120"/>
      <c r="J98" s="114"/>
      <c r="K98" t="s">
        <v>411</v>
      </c>
      <c r="L98">
        <f>STDEV(L21:L95)</f>
        <v>0.21491143788920866</v>
      </c>
      <c r="O98" t="s">
        <v>816</v>
      </c>
    </row>
    <row r="99" spans="3:15" ht="12.75">
      <c r="C99" s="109">
        <f t="shared" si="24"/>
        <v>79</v>
      </c>
      <c r="D99" s="109">
        <v>177.66</v>
      </c>
      <c r="E99" s="110"/>
      <c r="F99" s="110"/>
      <c r="G99" s="110"/>
      <c r="H99" s="120">
        <v>490</v>
      </c>
      <c r="I99" s="120"/>
      <c r="J99" s="114"/>
      <c r="N99" s="105">
        <f>41.46*1000/60</f>
        <v>691</v>
      </c>
      <c r="O99">
        <f aca="true" t="shared" si="25" ref="O99:O104">LOG(N99)</f>
        <v>2.8394780473741985</v>
      </c>
    </row>
    <row r="100" spans="3:15" ht="12.75">
      <c r="C100" s="109">
        <f t="shared" si="24"/>
        <v>80</v>
      </c>
      <c r="D100" s="109">
        <v>234.06</v>
      </c>
      <c r="E100" s="110"/>
      <c r="F100" s="110"/>
      <c r="G100" s="110"/>
      <c r="H100" s="120">
        <v>908</v>
      </c>
      <c r="I100" s="120"/>
      <c r="J100" s="114"/>
      <c r="N100" s="110">
        <f>11.03*1000/60</f>
        <v>183.83333333333334</v>
      </c>
      <c r="O100">
        <f t="shared" si="25"/>
        <v>2.264424262056547</v>
      </c>
    </row>
    <row r="101" spans="3:15" ht="12.75">
      <c r="C101" s="109">
        <f t="shared" si="24"/>
        <v>81</v>
      </c>
      <c r="D101" s="109">
        <v>277.34700000000004</v>
      </c>
      <c r="E101" s="110"/>
      <c r="F101" s="110"/>
      <c r="G101" s="110"/>
      <c r="H101" s="120">
        <v>825</v>
      </c>
      <c r="I101" s="120"/>
      <c r="J101" s="114"/>
      <c r="N101" s="110">
        <f>12.19*1000/60</f>
        <v>203.16666666666666</v>
      </c>
      <c r="O101">
        <f t="shared" si="25"/>
        <v>2.3078524552347384</v>
      </c>
    </row>
    <row r="102" spans="3:15" ht="12.75">
      <c r="C102" s="109">
        <f t="shared" si="24"/>
        <v>82</v>
      </c>
      <c r="D102" s="109">
        <v>470.51699999999994</v>
      </c>
      <c r="E102" s="110"/>
      <c r="F102" s="110"/>
      <c r="G102" s="110"/>
      <c r="H102" s="120">
        <v>1004</v>
      </c>
      <c r="I102" s="120"/>
      <c r="J102" s="114"/>
      <c r="N102" s="110">
        <f>6.03*1000/60</f>
        <v>100.5</v>
      </c>
      <c r="O102">
        <f t="shared" si="25"/>
        <v>2.002166061756508</v>
      </c>
    </row>
    <row r="103" spans="3:15" ht="13.5" thickBot="1">
      <c r="C103" s="111">
        <f t="shared" si="24"/>
        <v>83</v>
      </c>
      <c r="D103" s="111">
        <v>658.47</v>
      </c>
      <c r="E103" s="112"/>
      <c r="F103" s="112"/>
      <c r="G103" s="112"/>
      <c r="H103" s="121">
        <v>2936</v>
      </c>
      <c r="I103" s="121"/>
      <c r="J103" s="115"/>
      <c r="N103" s="110">
        <f>9.11*1000/60</f>
        <v>151.83333333333334</v>
      </c>
      <c r="O103">
        <f t="shared" si="25"/>
        <v>2.181367126589355</v>
      </c>
    </row>
    <row r="104" spans="3:15" ht="13.5" thickBot="1">
      <c r="C104" s="104">
        <f t="shared" si="24"/>
        <v>84</v>
      </c>
      <c r="D104" s="104">
        <v>157</v>
      </c>
      <c r="E104" s="105"/>
      <c r="F104" s="105"/>
      <c r="G104" s="105"/>
      <c r="H104" s="105"/>
      <c r="I104" s="105">
        <f>41.46*1000/60</f>
        <v>691</v>
      </c>
      <c r="J104" s="113"/>
      <c r="N104" s="112">
        <f>16.77*1000/60</f>
        <v>279.5</v>
      </c>
      <c r="O104">
        <f t="shared" si="25"/>
        <v>2.446381812222442</v>
      </c>
    </row>
    <row r="105" spans="3:10" ht="12.75">
      <c r="C105" s="109">
        <f t="shared" si="24"/>
        <v>85</v>
      </c>
      <c r="D105" s="109">
        <v>510</v>
      </c>
      <c r="E105" s="110"/>
      <c r="F105" s="110"/>
      <c r="G105" s="110"/>
      <c r="H105" s="110"/>
      <c r="I105" s="110">
        <f>11.03*1000/60</f>
        <v>183.83333333333334</v>
      </c>
      <c r="J105" s="114"/>
    </row>
    <row r="106" spans="1:15" ht="12.75">
      <c r="A106" t="s">
        <v>298</v>
      </c>
      <c r="B106" t="s">
        <v>299</v>
      </c>
      <c r="C106" s="109">
        <f t="shared" si="24"/>
        <v>86</v>
      </c>
      <c r="D106" s="109">
        <v>498</v>
      </c>
      <c r="E106" s="110"/>
      <c r="F106" s="110"/>
      <c r="G106" s="110"/>
      <c r="H106" s="110"/>
      <c r="I106" s="110">
        <f>12.19*1000/60</f>
        <v>203.16666666666666</v>
      </c>
      <c r="J106" s="114"/>
      <c r="M106" t="s">
        <v>835</v>
      </c>
      <c r="N106">
        <f>AVERAGE(N99:N104)</f>
        <v>268.30555555555554</v>
      </c>
      <c r="O106">
        <f>AVERAGE(O99:O104)</f>
        <v>2.3402782942056315</v>
      </c>
    </row>
    <row r="107" spans="3:15" ht="12.75">
      <c r="C107" s="109">
        <f t="shared" si="24"/>
        <v>87</v>
      </c>
      <c r="D107" s="109">
        <v>296</v>
      </c>
      <c r="E107" s="110"/>
      <c r="F107" s="110"/>
      <c r="G107" s="110"/>
      <c r="H107" s="110"/>
      <c r="I107" s="110">
        <f>6.03*1000/60</f>
        <v>100.5</v>
      </c>
      <c r="J107" s="114"/>
      <c r="M107" t="s">
        <v>329</v>
      </c>
      <c r="N107">
        <f>STDEV(N99:N104)</f>
        <v>215.359709856857</v>
      </c>
      <c r="O107" s="1">
        <f>STDEV(O99:O104)</f>
        <v>0.2852494558277876</v>
      </c>
    </row>
    <row r="108" spans="3:10" ht="12.75">
      <c r="C108" s="109">
        <f t="shared" si="24"/>
        <v>88</v>
      </c>
      <c r="D108" s="109">
        <v>57</v>
      </c>
      <c r="E108" s="110"/>
      <c r="F108" s="110"/>
      <c r="G108" s="110"/>
      <c r="H108" s="110"/>
      <c r="I108" s="110">
        <f>9.11*1000/60</f>
        <v>151.83333333333334</v>
      </c>
      <c r="J108" s="114"/>
    </row>
    <row r="109" spans="3:10" ht="13.5" thickBot="1">
      <c r="C109" s="111">
        <f t="shared" si="24"/>
        <v>89</v>
      </c>
      <c r="D109" s="111">
        <v>81</v>
      </c>
      <c r="E109" s="112"/>
      <c r="F109" s="112"/>
      <c r="G109" s="112"/>
      <c r="H109" s="112"/>
      <c r="I109" s="112">
        <f>16.77*1000/60</f>
        <v>279.5</v>
      </c>
      <c r="J109" s="115"/>
    </row>
    <row r="110" spans="3:10" ht="12.75">
      <c r="C110" s="109">
        <f t="shared" si="24"/>
        <v>90</v>
      </c>
      <c r="D110" s="109"/>
      <c r="E110" s="110"/>
      <c r="F110" s="110"/>
      <c r="G110" s="110">
        <v>21.52</v>
      </c>
      <c r="H110" s="110"/>
      <c r="I110" s="110"/>
      <c r="J110" s="114">
        <v>102</v>
      </c>
    </row>
    <row r="111" spans="3:10" ht="12.75">
      <c r="C111" s="109">
        <f t="shared" si="24"/>
        <v>91</v>
      </c>
      <c r="D111" s="109"/>
      <c r="E111" s="110"/>
      <c r="F111" s="110"/>
      <c r="G111" s="110">
        <v>18.58</v>
      </c>
      <c r="H111" s="110"/>
      <c r="I111" s="110"/>
      <c r="J111" s="114">
        <v>119</v>
      </c>
    </row>
    <row r="112" spans="1:10" ht="12.75">
      <c r="A112" t="s">
        <v>300</v>
      </c>
      <c r="B112" t="s">
        <v>299</v>
      </c>
      <c r="C112" s="109">
        <f t="shared" si="24"/>
        <v>92</v>
      </c>
      <c r="D112" s="109"/>
      <c r="E112" s="110"/>
      <c r="F112" s="110"/>
      <c r="G112" s="110">
        <v>15.65</v>
      </c>
      <c r="H112" s="110"/>
      <c r="I112" s="110"/>
      <c r="J112" s="114">
        <v>102</v>
      </c>
    </row>
    <row r="113" spans="3:10" ht="13.5" thickBot="1">
      <c r="C113" s="111">
        <f t="shared" si="24"/>
        <v>93</v>
      </c>
      <c r="D113" s="111"/>
      <c r="E113" s="112"/>
      <c r="F113" s="112"/>
      <c r="G113" s="112">
        <v>27.46</v>
      </c>
      <c r="H113" s="112"/>
      <c r="I113" s="112"/>
      <c r="J113" s="115">
        <v>139</v>
      </c>
    </row>
    <row r="115" spans="6:7" ht="12.75">
      <c r="F115">
        <f>STDEV(F21:F95)</f>
        <v>24.228405114955763</v>
      </c>
      <c r="G115">
        <f>AVERAGE(G110:G113)</f>
        <v>20.8025</v>
      </c>
    </row>
    <row r="117" ht="13.5" thickBot="1"/>
    <row r="118" spans="8:9" ht="13.5" thickBot="1">
      <c r="H118" s="116">
        <v>1113</v>
      </c>
      <c r="I118">
        <f>LOG(H118)</f>
        <v>3.0464951643347082</v>
      </c>
    </row>
    <row r="119" spans="3:9" ht="12.75">
      <c r="C119">
        <v>1.0413926851582251</v>
      </c>
      <c r="D119" s="116">
        <v>1113</v>
      </c>
      <c r="E119">
        <v>3.0464951643347082</v>
      </c>
      <c r="H119" s="117">
        <v>1724</v>
      </c>
      <c r="I119">
        <f aca="true" t="shared" si="26" ref="I119:I140">LOG(H119)</f>
        <v>3.236537261488694</v>
      </c>
    </row>
    <row r="120" spans="3:9" ht="13.5" thickBot="1">
      <c r="C120">
        <v>1.806179973983887</v>
      </c>
      <c r="D120" s="117">
        <v>1724</v>
      </c>
      <c r="E120">
        <v>3.236537261488694</v>
      </c>
      <c r="H120" s="117">
        <v>1039</v>
      </c>
      <c r="I120">
        <f t="shared" si="26"/>
        <v>3.016615547557177</v>
      </c>
    </row>
    <row r="121" spans="2:9" ht="12.75">
      <c r="B121" s="105">
        <v>11</v>
      </c>
      <c r="C121">
        <v>1.6434526764861874</v>
      </c>
      <c r="D121" s="117">
        <v>1039</v>
      </c>
      <c r="E121">
        <v>3.016615547557177</v>
      </c>
      <c r="H121" s="117">
        <v>1432</v>
      </c>
      <c r="I121">
        <f t="shared" si="26"/>
        <v>3.1559430179718366</v>
      </c>
    </row>
    <row r="122" spans="2:9" ht="12.75">
      <c r="B122" s="110">
        <v>64</v>
      </c>
      <c r="C122">
        <v>1.6989700043360187</v>
      </c>
      <c r="D122" s="117">
        <v>1432</v>
      </c>
      <c r="E122">
        <v>3.1559430179718366</v>
      </c>
      <c r="H122" s="117">
        <v>1422</v>
      </c>
      <c r="I122">
        <f t="shared" si="26"/>
        <v>3.1528995963937474</v>
      </c>
    </row>
    <row r="123" spans="2:9" ht="12.75">
      <c r="B123" s="110">
        <v>44</v>
      </c>
      <c r="C123">
        <v>1.7201593034059568</v>
      </c>
      <c r="D123" s="117">
        <v>1422</v>
      </c>
      <c r="E123">
        <v>3.1528995963937474</v>
      </c>
      <c r="H123" s="117">
        <v>1746</v>
      </c>
      <c r="I123">
        <f t="shared" si="26"/>
        <v>3.2420442393695508</v>
      </c>
    </row>
    <row r="124" spans="2:9" ht="12.75">
      <c r="B124" s="110">
        <v>50</v>
      </c>
      <c r="C124">
        <v>1.9590413923210936</v>
      </c>
      <c r="D124" s="117">
        <v>1746</v>
      </c>
      <c r="E124">
        <v>3.2420442393695508</v>
      </c>
      <c r="H124" s="117">
        <v>943</v>
      </c>
      <c r="I124">
        <f t="shared" si="26"/>
        <v>2.9745116927373285</v>
      </c>
    </row>
    <row r="125" spans="2:9" ht="12.75">
      <c r="B125" s="110">
        <v>52.5</v>
      </c>
      <c r="C125">
        <v>1.2787536009528289</v>
      </c>
      <c r="D125" s="117">
        <v>943</v>
      </c>
      <c r="E125">
        <v>2.9745116927373285</v>
      </c>
      <c r="H125" s="117">
        <v>1627</v>
      </c>
      <c r="I125">
        <f t="shared" si="26"/>
        <v>3.2113875529368587</v>
      </c>
    </row>
    <row r="126" spans="2:9" ht="12.75">
      <c r="B126" s="110">
        <v>91</v>
      </c>
      <c r="C126">
        <v>1.8864907251724818</v>
      </c>
      <c r="D126" s="117">
        <v>1627</v>
      </c>
      <c r="E126">
        <v>3.2113875529368587</v>
      </c>
      <c r="H126" s="117">
        <v>1416</v>
      </c>
      <c r="I126">
        <f t="shared" si="26"/>
        <v>3.15106325335375</v>
      </c>
    </row>
    <row r="127" spans="2:9" ht="12.75">
      <c r="B127" s="110">
        <v>19</v>
      </c>
      <c r="C127">
        <v>1.568201724066995</v>
      </c>
      <c r="D127" s="117">
        <v>1416</v>
      </c>
      <c r="E127">
        <v>3.15106325335375</v>
      </c>
      <c r="H127" s="117">
        <v>2353</v>
      </c>
      <c r="I127">
        <f t="shared" si="26"/>
        <v>3.3716219271760215</v>
      </c>
    </row>
    <row r="128" spans="2:9" ht="12.75">
      <c r="B128" s="110">
        <v>77</v>
      </c>
      <c r="C128">
        <v>1.8692317197309762</v>
      </c>
      <c r="D128" s="117">
        <v>2353</v>
      </c>
      <c r="E128">
        <v>3.3716219271760215</v>
      </c>
      <c r="H128" s="117">
        <v>890</v>
      </c>
      <c r="I128">
        <f t="shared" si="26"/>
        <v>2.949390006644913</v>
      </c>
    </row>
    <row r="129" spans="2:9" ht="12.75">
      <c r="B129" s="110">
        <v>37</v>
      </c>
      <c r="C129">
        <v>1.4771212547196624</v>
      </c>
      <c r="D129" s="117">
        <v>890</v>
      </c>
      <c r="E129">
        <v>2.949390006644913</v>
      </c>
      <c r="H129" s="117">
        <v>1584</v>
      </c>
      <c r="I129">
        <f t="shared" si="26"/>
        <v>3.1997551772534747</v>
      </c>
    </row>
    <row r="130" spans="2:9" ht="12.75">
      <c r="B130" s="110">
        <v>74</v>
      </c>
      <c r="C130">
        <v>1.4771212547196624</v>
      </c>
      <c r="D130" s="117">
        <v>1584</v>
      </c>
      <c r="E130">
        <v>3.1997551772534747</v>
      </c>
      <c r="H130" s="117">
        <v>2078</v>
      </c>
      <c r="I130">
        <f t="shared" si="26"/>
        <v>3.3176455432211585</v>
      </c>
    </row>
    <row r="131" spans="2:9" ht="12.75">
      <c r="B131" s="110">
        <v>30</v>
      </c>
      <c r="C131">
        <v>1.9731278535996986</v>
      </c>
      <c r="D131" s="117">
        <v>2078</v>
      </c>
      <c r="E131">
        <v>3.3176455432211585</v>
      </c>
      <c r="H131" s="117">
        <v>2623</v>
      </c>
      <c r="I131">
        <f t="shared" si="26"/>
        <v>3.4187982905903533</v>
      </c>
    </row>
    <row r="132" spans="2:9" ht="13.5" thickBot="1">
      <c r="B132" s="110">
        <v>30</v>
      </c>
      <c r="C132">
        <v>1.954242509439325</v>
      </c>
      <c r="D132" s="117">
        <v>2623</v>
      </c>
      <c r="E132">
        <v>3.4187982905903533</v>
      </c>
      <c r="H132" s="118">
        <v>3455</v>
      </c>
      <c r="I132">
        <f t="shared" si="26"/>
        <v>3.5384480517102173</v>
      </c>
    </row>
    <row r="133" spans="2:12" ht="13.5" thickBot="1">
      <c r="B133" s="110">
        <v>94</v>
      </c>
      <c r="C133">
        <v>1.9590413923210936</v>
      </c>
      <c r="D133" s="118">
        <v>3455</v>
      </c>
      <c r="E133">
        <v>3.5384480517102173</v>
      </c>
      <c r="H133" s="119">
        <v>714</v>
      </c>
      <c r="I133">
        <f t="shared" si="26"/>
        <v>2.8536982117761744</v>
      </c>
      <c r="L133">
        <f>1.96*2</f>
        <v>3.92</v>
      </c>
    </row>
    <row r="134" spans="2:9" ht="12.75">
      <c r="B134" s="110">
        <v>90</v>
      </c>
      <c r="D134" s="117"/>
      <c r="H134" s="120">
        <v>909</v>
      </c>
      <c r="I134">
        <f t="shared" si="26"/>
        <v>2.9585638832219674</v>
      </c>
    </row>
    <row r="135" spans="2:9" ht="13.5" thickBot="1">
      <c r="B135" s="112">
        <v>91</v>
      </c>
      <c r="D135" s="117"/>
      <c r="H135" s="120">
        <v>3309</v>
      </c>
      <c r="I135">
        <f t="shared" si="26"/>
        <v>3.519696767159853</v>
      </c>
    </row>
    <row r="136" spans="3:9" ht="12.75">
      <c r="C136">
        <v>1.6875018713609395</v>
      </c>
      <c r="D136">
        <v>1696.3333333333333</v>
      </c>
      <c r="E136">
        <v>3.198877088182653</v>
      </c>
      <c r="H136" s="120">
        <v>490</v>
      </c>
      <c r="I136">
        <f t="shared" si="26"/>
        <v>2.690196080028514</v>
      </c>
    </row>
    <row r="137" spans="3:9" ht="12.75">
      <c r="C137">
        <v>0.2774025061453293</v>
      </c>
      <c r="D137">
        <v>695.0295642906822</v>
      </c>
      <c r="E137" s="1">
        <v>0.16611658031672616</v>
      </c>
      <c r="H137" s="120">
        <v>908</v>
      </c>
      <c r="I137">
        <f t="shared" si="26"/>
        <v>2.958085848521085</v>
      </c>
    </row>
    <row r="138" spans="2:9" ht="12.75">
      <c r="B138">
        <v>56.96666666666667</v>
      </c>
      <c r="D138" s="117"/>
      <c r="H138" s="120">
        <v>825</v>
      </c>
      <c r="I138">
        <f t="shared" si="26"/>
        <v>2.916453948549925</v>
      </c>
    </row>
    <row r="139" spans="2:9" ht="12.75">
      <c r="B139">
        <v>28.239072897232973</v>
      </c>
      <c r="D139" s="117"/>
      <c r="H139" s="120">
        <v>1004</v>
      </c>
      <c r="I139">
        <f t="shared" si="26"/>
        <v>3.0017337128090005</v>
      </c>
    </row>
    <row r="140" spans="4:9" ht="13.5" thickBot="1">
      <c r="D140" s="117"/>
      <c r="H140" s="121">
        <v>2936</v>
      </c>
      <c r="I140">
        <f t="shared" si="26"/>
        <v>3.467756051244033</v>
      </c>
    </row>
    <row r="141" ht="13.5" thickBot="1">
      <c r="D141" s="117"/>
    </row>
    <row r="142" spans="4:9" ht="12.75">
      <c r="D142" s="119">
        <v>714</v>
      </c>
      <c r="E142">
        <v>2.8536982117761744</v>
      </c>
      <c r="I142">
        <f>AVERAGE(I118:I140)</f>
        <v>3.145623514176102</v>
      </c>
    </row>
    <row r="143" spans="4:9" ht="12.75">
      <c r="D143" s="120">
        <v>909</v>
      </c>
      <c r="E143">
        <v>2.9585638832219674</v>
      </c>
      <c r="I143" s="1">
        <f>STDEV(I118:I140)</f>
        <v>0.22447763090245998</v>
      </c>
    </row>
    <row r="144" spans="4:5" ht="12.75">
      <c r="D144" s="120">
        <v>3309</v>
      </c>
      <c r="E144">
        <v>3.519696767159853</v>
      </c>
    </row>
    <row r="145" spans="4:5" ht="12.75">
      <c r="D145" s="120">
        <v>490</v>
      </c>
      <c r="E145">
        <v>2.690196080028514</v>
      </c>
    </row>
    <row r="146" spans="4:5" ht="12.75">
      <c r="D146" s="120">
        <v>908</v>
      </c>
      <c r="E146">
        <v>2.958085848521085</v>
      </c>
    </row>
    <row r="147" spans="4:5" ht="12.75">
      <c r="D147" s="120">
        <v>825</v>
      </c>
      <c r="E147">
        <v>2.916453948549925</v>
      </c>
    </row>
    <row r="148" spans="4:5" ht="12.75">
      <c r="D148" s="120">
        <v>1004</v>
      </c>
      <c r="E148">
        <v>3.0017337128090005</v>
      </c>
    </row>
    <row r="149" spans="4:5" ht="13.5" thickBot="1">
      <c r="D149" s="121">
        <v>2936</v>
      </c>
      <c r="E149">
        <v>3.467756051244033</v>
      </c>
    </row>
    <row r="151" ht="12.75">
      <c r="E151">
        <v>3.045773062913819</v>
      </c>
    </row>
    <row r="152" ht="12.75">
      <c r="E152" s="1">
        <v>0.25705067029124656</v>
      </c>
    </row>
    <row r="157" ht="12.75">
      <c r="M157" t="s">
        <v>816</v>
      </c>
    </row>
    <row r="158" spans="3:13" ht="12.75">
      <c r="C158" t="s">
        <v>971</v>
      </c>
      <c r="D158" t="s">
        <v>279</v>
      </c>
      <c r="E158" t="s">
        <v>280</v>
      </c>
      <c r="F158" t="s">
        <v>281</v>
      </c>
      <c r="G158" t="s">
        <v>282</v>
      </c>
      <c r="H158" t="s">
        <v>283</v>
      </c>
      <c r="I158" t="s">
        <v>284</v>
      </c>
      <c r="M158" t="s">
        <v>280</v>
      </c>
    </row>
    <row r="159" spans="2:13" ht="12.75">
      <c r="B159" t="s">
        <v>285</v>
      </c>
      <c r="C159" t="s">
        <v>286</v>
      </c>
      <c r="D159" t="s">
        <v>287</v>
      </c>
      <c r="E159" t="s">
        <v>288</v>
      </c>
      <c r="F159" t="s">
        <v>289</v>
      </c>
      <c r="G159" t="s">
        <v>290</v>
      </c>
      <c r="H159" t="s">
        <v>291</v>
      </c>
      <c r="I159" t="s">
        <v>292</v>
      </c>
      <c r="M159" t="s">
        <v>288</v>
      </c>
    </row>
    <row r="160" spans="2:13" ht="12.75">
      <c r="B160">
        <v>1</v>
      </c>
      <c r="D160">
        <v>2157.4</v>
      </c>
      <c r="E160">
        <v>85.5</v>
      </c>
      <c r="M160">
        <f>LOG(E160)</f>
        <v>1.9319661147281726</v>
      </c>
    </row>
    <row r="161" spans="2:13" ht="12.75">
      <c r="B161">
        <v>2</v>
      </c>
      <c r="D161">
        <v>2585.6</v>
      </c>
      <c r="E161">
        <v>99.8</v>
      </c>
      <c r="M161">
        <f aca="true" t="shared" si="27" ref="M161:M224">LOG(E161)</f>
        <v>1.999130541287371</v>
      </c>
    </row>
    <row r="162" spans="2:13" ht="12.75">
      <c r="B162">
        <v>3</v>
      </c>
      <c r="D162">
        <v>2452.3</v>
      </c>
      <c r="E162">
        <v>83.4</v>
      </c>
      <c r="M162">
        <f t="shared" si="27"/>
        <v>1.9211660506377388</v>
      </c>
    </row>
    <row r="163" spans="2:13" ht="12.75">
      <c r="B163">
        <v>4</v>
      </c>
      <c r="D163">
        <v>1520</v>
      </c>
      <c r="E163">
        <v>23</v>
      </c>
      <c r="M163">
        <f t="shared" si="27"/>
        <v>1.3617278360175928</v>
      </c>
    </row>
    <row r="164" spans="2:13" ht="12.75">
      <c r="B164">
        <v>5</v>
      </c>
      <c r="D164">
        <v>1231.7</v>
      </c>
      <c r="E164">
        <v>34</v>
      </c>
      <c r="M164">
        <f t="shared" si="27"/>
        <v>1.5314789170422551</v>
      </c>
    </row>
    <row r="165" spans="2:13" ht="12.75">
      <c r="B165">
        <v>6</v>
      </c>
      <c r="D165">
        <v>1842.2</v>
      </c>
      <c r="E165">
        <v>36.3</v>
      </c>
      <c r="M165">
        <f t="shared" si="27"/>
        <v>1.5599066250361124</v>
      </c>
    </row>
    <row r="166" spans="2:13" ht="12.75">
      <c r="B166">
        <v>7</v>
      </c>
      <c r="D166">
        <v>3850</v>
      </c>
      <c r="E166">
        <v>76.8</v>
      </c>
      <c r="M166">
        <f t="shared" si="27"/>
        <v>1.885361220031512</v>
      </c>
    </row>
    <row r="167" spans="2:13" ht="12.75">
      <c r="B167">
        <v>8</v>
      </c>
      <c r="D167">
        <v>1835.2</v>
      </c>
      <c r="E167">
        <v>46</v>
      </c>
      <c r="M167">
        <f t="shared" si="27"/>
        <v>1.662757831681574</v>
      </c>
    </row>
    <row r="168" spans="2:13" ht="12.75">
      <c r="B168">
        <v>9</v>
      </c>
      <c r="D168">
        <v>2472.5</v>
      </c>
      <c r="E168">
        <v>69</v>
      </c>
      <c r="M168">
        <f t="shared" si="27"/>
        <v>1.8388490907372552</v>
      </c>
    </row>
    <row r="169" spans="2:13" ht="12.75">
      <c r="B169">
        <v>10</v>
      </c>
      <c r="D169">
        <v>2863.3</v>
      </c>
      <c r="E169">
        <v>58.5</v>
      </c>
      <c r="M169">
        <f t="shared" si="27"/>
        <v>1.7671558660821804</v>
      </c>
    </row>
    <row r="170" spans="2:13" ht="12.75">
      <c r="B170">
        <v>11</v>
      </c>
      <c r="D170">
        <v>4452.6</v>
      </c>
      <c r="E170">
        <v>54</v>
      </c>
      <c r="M170">
        <f t="shared" si="27"/>
        <v>1.7323937598229686</v>
      </c>
    </row>
    <row r="171" spans="2:13" ht="12.75">
      <c r="B171">
        <v>12</v>
      </c>
      <c r="D171">
        <v>5004</v>
      </c>
      <c r="E171">
        <v>64</v>
      </c>
      <c r="M171">
        <f t="shared" si="27"/>
        <v>1.806179973983887</v>
      </c>
    </row>
    <row r="172" spans="2:13" ht="12.75">
      <c r="B172">
        <v>13</v>
      </c>
      <c r="D172">
        <v>2696.4</v>
      </c>
      <c r="E172">
        <v>68</v>
      </c>
      <c r="M172">
        <f t="shared" si="27"/>
        <v>1.8325089127062364</v>
      </c>
    </row>
    <row r="173" spans="2:13" ht="12.75">
      <c r="B173">
        <v>14</v>
      </c>
      <c r="D173">
        <v>2715.6</v>
      </c>
      <c r="E173">
        <v>53</v>
      </c>
      <c r="M173">
        <f t="shared" si="27"/>
        <v>1.724275869600789</v>
      </c>
    </row>
    <row r="174" spans="2:13" ht="12.75">
      <c r="B174">
        <v>15</v>
      </c>
      <c r="D174">
        <v>2720.6</v>
      </c>
      <c r="E174">
        <v>46</v>
      </c>
      <c r="M174">
        <f t="shared" si="27"/>
        <v>1.662757831681574</v>
      </c>
    </row>
    <row r="175" spans="2:13" ht="12.75">
      <c r="B175">
        <v>16</v>
      </c>
      <c r="D175">
        <v>3342.8</v>
      </c>
      <c r="E175">
        <v>66</v>
      </c>
      <c r="M175">
        <f t="shared" si="27"/>
        <v>1.8195439355418688</v>
      </c>
    </row>
    <row r="176" spans="2:13" ht="12.75">
      <c r="B176">
        <v>17</v>
      </c>
      <c r="D176">
        <v>2477.6</v>
      </c>
      <c r="E176">
        <v>41</v>
      </c>
      <c r="M176">
        <f t="shared" si="27"/>
        <v>1.6127838567197355</v>
      </c>
    </row>
    <row r="177" spans="2:13" ht="12.75">
      <c r="B177">
        <v>18</v>
      </c>
      <c r="D177">
        <v>3133</v>
      </c>
      <c r="E177">
        <v>24</v>
      </c>
      <c r="M177">
        <f t="shared" si="27"/>
        <v>1.380211241711606</v>
      </c>
    </row>
    <row r="178" spans="2:13" ht="12.75">
      <c r="B178">
        <v>19</v>
      </c>
      <c r="D178">
        <v>1738.8</v>
      </c>
      <c r="E178">
        <v>42</v>
      </c>
      <c r="M178">
        <f t="shared" si="27"/>
        <v>1.6232492903979006</v>
      </c>
    </row>
    <row r="179" spans="2:13" ht="12.75">
      <c r="B179">
        <v>20</v>
      </c>
      <c r="D179">
        <v>1764</v>
      </c>
      <c r="E179">
        <v>41</v>
      </c>
      <c r="M179">
        <f t="shared" si="27"/>
        <v>1.6127838567197355</v>
      </c>
    </row>
    <row r="180" spans="2:13" ht="12.75">
      <c r="B180">
        <v>21</v>
      </c>
      <c r="E180">
        <v>52.5</v>
      </c>
      <c r="M180">
        <f t="shared" si="27"/>
        <v>1.7201593034059568</v>
      </c>
    </row>
    <row r="181" spans="2:13" ht="12.75">
      <c r="B181">
        <v>22</v>
      </c>
      <c r="E181">
        <v>94</v>
      </c>
      <c r="M181">
        <f t="shared" si="27"/>
        <v>1.9731278535996986</v>
      </c>
    </row>
    <row r="182" spans="2:13" ht="12.75">
      <c r="B182">
        <v>23</v>
      </c>
      <c r="E182">
        <v>46.5</v>
      </c>
      <c r="M182">
        <f t="shared" si="27"/>
        <v>1.667452952889954</v>
      </c>
    </row>
    <row r="183" spans="2:13" ht="12.75">
      <c r="B183">
        <v>24</v>
      </c>
      <c r="E183">
        <v>90</v>
      </c>
      <c r="M183">
        <f t="shared" si="27"/>
        <v>1.954242509439325</v>
      </c>
    </row>
    <row r="184" spans="2:13" ht="12.75">
      <c r="B184">
        <v>25</v>
      </c>
      <c r="E184">
        <v>11</v>
      </c>
      <c r="M184">
        <f t="shared" si="27"/>
        <v>1.0413926851582251</v>
      </c>
    </row>
    <row r="185" spans="2:13" ht="12.75">
      <c r="B185">
        <v>26</v>
      </c>
      <c r="E185">
        <v>64</v>
      </c>
      <c r="M185">
        <f t="shared" si="27"/>
        <v>1.806179973983887</v>
      </c>
    </row>
    <row r="186" spans="2:13" ht="12.75">
      <c r="B186">
        <v>27</v>
      </c>
      <c r="E186">
        <v>41</v>
      </c>
      <c r="M186">
        <f t="shared" si="27"/>
        <v>1.6127838567197355</v>
      </c>
    </row>
    <row r="187" spans="2:13" ht="12.75">
      <c r="B187">
        <v>28</v>
      </c>
      <c r="E187">
        <v>64</v>
      </c>
      <c r="M187">
        <f t="shared" si="27"/>
        <v>1.806179973983887</v>
      </c>
    </row>
    <row r="188" spans="2:13" ht="12.75">
      <c r="B188">
        <v>29</v>
      </c>
      <c r="E188">
        <v>30</v>
      </c>
      <c r="M188">
        <f t="shared" si="27"/>
        <v>1.4771212547196624</v>
      </c>
    </row>
    <row r="189" spans="2:13" ht="12.75">
      <c r="B189">
        <v>30</v>
      </c>
      <c r="E189">
        <v>57.5</v>
      </c>
      <c r="M189">
        <f t="shared" si="27"/>
        <v>1.7596678446896306</v>
      </c>
    </row>
    <row r="190" spans="2:13" ht="12.75">
      <c r="B190">
        <v>31</v>
      </c>
      <c r="E190">
        <v>35.5</v>
      </c>
      <c r="M190">
        <f t="shared" si="27"/>
        <v>1.550228353055094</v>
      </c>
    </row>
    <row r="191" spans="2:13" ht="12.75">
      <c r="B191">
        <v>32</v>
      </c>
      <c r="E191">
        <v>55</v>
      </c>
      <c r="M191">
        <f t="shared" si="27"/>
        <v>1.7403626894942439</v>
      </c>
    </row>
    <row r="192" spans="2:13" ht="12.75">
      <c r="B192">
        <v>33</v>
      </c>
      <c r="E192">
        <v>52</v>
      </c>
      <c r="M192">
        <f t="shared" si="27"/>
        <v>1.7160033436347992</v>
      </c>
    </row>
    <row r="193" spans="2:13" ht="12.75">
      <c r="B193">
        <v>34</v>
      </c>
      <c r="E193">
        <v>29</v>
      </c>
      <c r="M193">
        <f t="shared" si="27"/>
        <v>1.462397997898956</v>
      </c>
    </row>
    <row r="194" spans="2:13" ht="12.75">
      <c r="B194">
        <v>35</v>
      </c>
      <c r="E194">
        <v>39</v>
      </c>
      <c r="M194">
        <f t="shared" si="27"/>
        <v>1.591064607026499</v>
      </c>
    </row>
    <row r="195" spans="2:13" ht="12.75">
      <c r="B195">
        <v>36</v>
      </c>
      <c r="E195">
        <v>39</v>
      </c>
      <c r="M195">
        <f t="shared" si="27"/>
        <v>1.591064607026499</v>
      </c>
    </row>
    <row r="196" spans="2:13" ht="12.75">
      <c r="B196">
        <v>37</v>
      </c>
      <c r="E196">
        <v>73</v>
      </c>
      <c r="M196">
        <f t="shared" si="27"/>
        <v>1.863322860120456</v>
      </c>
    </row>
    <row r="197" spans="2:13" ht="12.75">
      <c r="B197">
        <v>38</v>
      </c>
      <c r="E197">
        <v>70</v>
      </c>
      <c r="M197">
        <f t="shared" si="27"/>
        <v>1.845098040014257</v>
      </c>
    </row>
    <row r="198" spans="2:13" ht="12.75">
      <c r="B198">
        <v>39</v>
      </c>
      <c r="E198">
        <v>130</v>
      </c>
      <c r="M198">
        <f t="shared" si="27"/>
        <v>2.113943352306837</v>
      </c>
    </row>
    <row r="199" spans="2:13" ht="12.75">
      <c r="B199">
        <v>40</v>
      </c>
      <c r="E199">
        <v>34</v>
      </c>
      <c r="M199">
        <f t="shared" si="27"/>
        <v>1.5314789170422551</v>
      </c>
    </row>
    <row r="200" spans="2:13" ht="12.75">
      <c r="B200">
        <v>41</v>
      </c>
      <c r="E200">
        <v>31</v>
      </c>
      <c r="M200">
        <f t="shared" si="27"/>
        <v>1.4913616938342726</v>
      </c>
    </row>
    <row r="201" spans="2:13" ht="12.75">
      <c r="B201">
        <v>42</v>
      </c>
      <c r="E201">
        <v>48</v>
      </c>
      <c r="M201">
        <f t="shared" si="27"/>
        <v>1.6812412373755872</v>
      </c>
    </row>
    <row r="202" spans="2:13" ht="12.75">
      <c r="B202">
        <v>43</v>
      </c>
      <c r="E202">
        <v>29.5</v>
      </c>
      <c r="M202">
        <f t="shared" si="27"/>
        <v>1.469822015978163</v>
      </c>
    </row>
    <row r="203" spans="2:13" ht="12.75">
      <c r="B203">
        <v>44</v>
      </c>
      <c r="E203">
        <v>19</v>
      </c>
      <c r="M203">
        <f t="shared" si="27"/>
        <v>1.2787536009528289</v>
      </c>
    </row>
    <row r="204" spans="2:13" ht="12.75">
      <c r="B204">
        <v>45</v>
      </c>
      <c r="E204">
        <v>77</v>
      </c>
      <c r="M204">
        <f t="shared" si="27"/>
        <v>1.8864907251724818</v>
      </c>
    </row>
    <row r="205" spans="2:13" ht="12.75">
      <c r="B205">
        <v>46</v>
      </c>
      <c r="E205">
        <v>91</v>
      </c>
      <c r="M205">
        <f t="shared" si="27"/>
        <v>1.9590413923210936</v>
      </c>
    </row>
    <row r="206" spans="2:13" ht="12.75">
      <c r="B206">
        <v>47</v>
      </c>
      <c r="E206">
        <v>37</v>
      </c>
      <c r="M206">
        <f t="shared" si="27"/>
        <v>1.568201724066995</v>
      </c>
    </row>
    <row r="207" spans="2:13" ht="12.75">
      <c r="B207">
        <v>48</v>
      </c>
      <c r="E207">
        <v>74</v>
      </c>
      <c r="M207">
        <f t="shared" si="27"/>
        <v>1.8692317197309762</v>
      </c>
    </row>
    <row r="208" spans="2:13" ht="12.75">
      <c r="B208">
        <v>49</v>
      </c>
      <c r="E208">
        <v>44</v>
      </c>
      <c r="M208">
        <f t="shared" si="27"/>
        <v>1.6434526764861874</v>
      </c>
    </row>
    <row r="209" spans="2:13" ht="12.75">
      <c r="B209">
        <v>50</v>
      </c>
      <c r="E209">
        <v>50</v>
      </c>
      <c r="M209">
        <f t="shared" si="27"/>
        <v>1.6989700043360187</v>
      </c>
    </row>
    <row r="210" spans="2:13" ht="12.75">
      <c r="B210">
        <v>51</v>
      </c>
      <c r="E210">
        <v>75</v>
      </c>
      <c r="M210">
        <f t="shared" si="27"/>
        <v>1.8750612633917</v>
      </c>
    </row>
    <row r="211" spans="2:13" ht="12.75">
      <c r="B211">
        <v>52</v>
      </c>
      <c r="E211">
        <v>29.5</v>
      </c>
      <c r="M211">
        <f t="shared" si="27"/>
        <v>1.469822015978163</v>
      </c>
    </row>
    <row r="212" spans="2:13" ht="12.75">
      <c r="B212">
        <v>53</v>
      </c>
      <c r="E212">
        <v>69</v>
      </c>
      <c r="M212">
        <f t="shared" si="27"/>
        <v>1.8388490907372552</v>
      </c>
    </row>
    <row r="213" spans="2:13" ht="12.75">
      <c r="B213">
        <v>54</v>
      </c>
      <c r="E213">
        <v>91</v>
      </c>
      <c r="M213">
        <f t="shared" si="27"/>
        <v>1.9590413923210936</v>
      </c>
    </row>
    <row r="214" spans="2:13" ht="12.75">
      <c r="B214">
        <v>55</v>
      </c>
      <c r="E214">
        <v>48</v>
      </c>
      <c r="M214">
        <f t="shared" si="27"/>
        <v>1.6812412373755872</v>
      </c>
    </row>
    <row r="215" spans="2:13" ht="12.75">
      <c r="B215">
        <v>56</v>
      </c>
      <c r="E215">
        <v>36</v>
      </c>
      <c r="M215">
        <f t="shared" si="27"/>
        <v>1.5563025007672873</v>
      </c>
    </row>
    <row r="216" spans="2:13" ht="12.75">
      <c r="B216">
        <v>57</v>
      </c>
      <c r="E216">
        <v>41</v>
      </c>
      <c r="M216">
        <f t="shared" si="27"/>
        <v>1.6127838567197355</v>
      </c>
    </row>
    <row r="217" spans="2:13" ht="12.75">
      <c r="B217">
        <v>58</v>
      </c>
      <c r="E217">
        <v>26</v>
      </c>
      <c r="M217">
        <f t="shared" si="27"/>
        <v>1.414973347970818</v>
      </c>
    </row>
    <row r="218" spans="2:13" ht="12.75">
      <c r="B218">
        <v>59</v>
      </c>
      <c r="E218">
        <v>26</v>
      </c>
      <c r="M218">
        <f t="shared" si="27"/>
        <v>1.414973347970818</v>
      </c>
    </row>
    <row r="219" spans="2:13" ht="12.75">
      <c r="B219">
        <v>60</v>
      </c>
      <c r="E219">
        <v>53</v>
      </c>
      <c r="M219">
        <f t="shared" si="27"/>
        <v>1.724275869600789</v>
      </c>
    </row>
    <row r="220" spans="2:13" ht="12.75">
      <c r="B220">
        <v>61</v>
      </c>
      <c r="C220">
        <v>249.57</v>
      </c>
      <c r="E220">
        <v>11</v>
      </c>
      <c r="G220">
        <v>1113</v>
      </c>
      <c r="M220">
        <f t="shared" si="27"/>
        <v>1.0413926851582251</v>
      </c>
    </row>
    <row r="221" spans="2:13" ht="12.75">
      <c r="B221">
        <v>62</v>
      </c>
      <c r="C221">
        <v>187.53</v>
      </c>
      <c r="E221">
        <v>64</v>
      </c>
      <c r="G221">
        <v>1724</v>
      </c>
      <c r="M221">
        <f t="shared" si="27"/>
        <v>1.806179973983887</v>
      </c>
    </row>
    <row r="222" spans="2:13" ht="12.75">
      <c r="B222">
        <v>63</v>
      </c>
      <c r="C222">
        <v>243.93</v>
      </c>
      <c r="E222">
        <v>44</v>
      </c>
      <c r="G222">
        <v>1039</v>
      </c>
      <c r="M222">
        <f t="shared" si="27"/>
        <v>1.6434526764861874</v>
      </c>
    </row>
    <row r="223" spans="2:13" ht="12.75">
      <c r="B223">
        <v>64</v>
      </c>
      <c r="C223">
        <v>276.36</v>
      </c>
      <c r="E223">
        <v>50</v>
      </c>
      <c r="G223">
        <v>1432</v>
      </c>
      <c r="M223">
        <f t="shared" si="27"/>
        <v>1.6989700043360187</v>
      </c>
    </row>
    <row r="224" spans="2:13" ht="12.75">
      <c r="B224">
        <v>65</v>
      </c>
      <c r="C224">
        <v>403.26</v>
      </c>
      <c r="E224">
        <v>52.5</v>
      </c>
      <c r="G224">
        <v>1422</v>
      </c>
      <c r="M224">
        <f t="shared" si="27"/>
        <v>1.7201593034059568</v>
      </c>
    </row>
    <row r="225" spans="2:13" ht="12.75">
      <c r="B225">
        <v>66</v>
      </c>
      <c r="C225">
        <v>421.59</v>
      </c>
      <c r="E225">
        <v>91</v>
      </c>
      <c r="G225">
        <v>1746</v>
      </c>
      <c r="M225">
        <f aca="true" t="shared" si="28" ref="M225:M234">LOG(E225)</f>
        <v>1.9590413923210936</v>
      </c>
    </row>
    <row r="226" spans="2:13" ht="12.75">
      <c r="B226">
        <v>67</v>
      </c>
      <c r="C226">
        <v>393.39</v>
      </c>
      <c r="E226">
        <v>19</v>
      </c>
      <c r="G226">
        <v>943</v>
      </c>
      <c r="M226">
        <f t="shared" si="28"/>
        <v>1.2787536009528289</v>
      </c>
    </row>
    <row r="227" spans="2:13" ht="12.75">
      <c r="B227">
        <v>68</v>
      </c>
      <c r="C227">
        <v>439.92</v>
      </c>
      <c r="E227">
        <v>77</v>
      </c>
      <c r="G227">
        <v>1627</v>
      </c>
      <c r="M227">
        <f t="shared" si="28"/>
        <v>1.8864907251724818</v>
      </c>
    </row>
    <row r="228" spans="2:13" ht="12.75">
      <c r="B228">
        <v>69</v>
      </c>
      <c r="C228">
        <v>493.5</v>
      </c>
      <c r="E228">
        <v>37</v>
      </c>
      <c r="G228">
        <v>1416</v>
      </c>
      <c r="M228">
        <f t="shared" si="28"/>
        <v>1.568201724066995</v>
      </c>
    </row>
    <row r="229" spans="2:13" ht="12.75">
      <c r="B229">
        <v>70</v>
      </c>
      <c r="C229">
        <v>407.772</v>
      </c>
      <c r="E229">
        <v>74</v>
      </c>
      <c r="G229">
        <v>2353</v>
      </c>
      <c r="M229">
        <f t="shared" si="28"/>
        <v>1.8692317197309762</v>
      </c>
    </row>
    <row r="230" spans="2:13" ht="12.75">
      <c r="B230">
        <v>71</v>
      </c>
      <c r="C230">
        <v>379.995</v>
      </c>
      <c r="E230">
        <v>30</v>
      </c>
      <c r="G230">
        <v>890</v>
      </c>
      <c r="M230">
        <f t="shared" si="28"/>
        <v>1.4771212547196624</v>
      </c>
    </row>
    <row r="231" spans="2:13" ht="12.75">
      <c r="B231">
        <v>72</v>
      </c>
      <c r="C231">
        <v>511.548</v>
      </c>
      <c r="E231">
        <v>30</v>
      </c>
      <c r="G231">
        <v>1584</v>
      </c>
      <c r="M231">
        <f t="shared" si="28"/>
        <v>1.4771212547196624</v>
      </c>
    </row>
    <row r="232" spans="2:13" ht="12.75">
      <c r="B232">
        <v>73</v>
      </c>
      <c r="C232">
        <v>785.37</v>
      </c>
      <c r="E232">
        <v>94</v>
      </c>
      <c r="G232">
        <v>2078</v>
      </c>
      <c r="M232">
        <f t="shared" si="28"/>
        <v>1.9731278535996986</v>
      </c>
    </row>
    <row r="233" spans="2:13" ht="12.75">
      <c r="B233">
        <v>74</v>
      </c>
      <c r="C233">
        <v>734.61</v>
      </c>
      <c r="E233">
        <v>90</v>
      </c>
      <c r="G233">
        <v>2623</v>
      </c>
      <c r="M233">
        <f t="shared" si="28"/>
        <v>1.954242509439325</v>
      </c>
    </row>
    <row r="234" spans="2:13" ht="12.75">
      <c r="B234">
        <v>75</v>
      </c>
      <c r="C234">
        <v>705</v>
      </c>
      <c r="E234">
        <v>91</v>
      </c>
      <c r="G234">
        <v>3455</v>
      </c>
      <c r="M234">
        <f t="shared" si="28"/>
        <v>1.9590413923210936</v>
      </c>
    </row>
    <row r="235" spans="2:7" ht="12.75">
      <c r="B235">
        <v>76</v>
      </c>
      <c r="C235">
        <v>227.01</v>
      </c>
      <c r="G235">
        <v>714</v>
      </c>
    </row>
    <row r="236" spans="2:7" ht="12.75">
      <c r="B236">
        <v>77</v>
      </c>
      <c r="C236">
        <v>214.32</v>
      </c>
      <c r="G236">
        <v>909</v>
      </c>
    </row>
    <row r="237" spans="2:13" ht="12.75">
      <c r="B237">
        <v>78</v>
      </c>
      <c r="C237">
        <v>265.08</v>
      </c>
      <c r="G237">
        <v>3309</v>
      </c>
      <c r="L237" t="s">
        <v>835</v>
      </c>
      <c r="M237">
        <f>AVERAGE(M160:M234)</f>
        <v>1.6866117384250645</v>
      </c>
    </row>
    <row r="238" spans="2:13" ht="12.75">
      <c r="B238">
        <v>79</v>
      </c>
      <c r="C238">
        <v>177.66</v>
      </c>
      <c r="G238">
        <v>490</v>
      </c>
      <c r="L238" t="s">
        <v>411</v>
      </c>
      <c r="M238">
        <f>STDEV(M160:M234)</f>
        <v>0.2158223264831503</v>
      </c>
    </row>
    <row r="239" spans="2:13" ht="12.75">
      <c r="B239">
        <v>80</v>
      </c>
      <c r="C239">
        <v>234.06</v>
      </c>
      <c r="G239">
        <v>908</v>
      </c>
      <c r="M239">
        <v>75</v>
      </c>
    </row>
    <row r="240" spans="2:7" ht="12.75">
      <c r="B240">
        <v>81</v>
      </c>
      <c r="C240">
        <v>277.34700000000004</v>
      </c>
      <c r="G240">
        <v>825</v>
      </c>
    </row>
    <row r="241" spans="2:7" ht="12.75">
      <c r="B241">
        <v>82</v>
      </c>
      <c r="C241">
        <v>470.51699999999994</v>
      </c>
      <c r="G241">
        <v>1004</v>
      </c>
    </row>
    <row r="242" spans="2:7" ht="12.75">
      <c r="B242">
        <v>83</v>
      </c>
      <c r="C242">
        <v>658.47</v>
      </c>
      <c r="G242">
        <v>2936</v>
      </c>
    </row>
    <row r="243" spans="2:8" ht="12.75">
      <c r="B243">
        <v>84</v>
      </c>
      <c r="C243">
        <v>157</v>
      </c>
      <c r="H243">
        <v>691</v>
      </c>
    </row>
    <row r="244" spans="2:8" ht="12.75">
      <c r="B244">
        <v>85</v>
      </c>
      <c r="C244">
        <v>510</v>
      </c>
      <c r="H244">
        <v>183.83333333333334</v>
      </c>
    </row>
    <row r="245" spans="2:8" ht="12.75">
      <c r="B245">
        <v>86</v>
      </c>
      <c r="C245">
        <v>498</v>
      </c>
      <c r="H245">
        <v>203.16666666666666</v>
      </c>
    </row>
    <row r="246" spans="2:8" ht="12.75">
      <c r="B246">
        <v>87</v>
      </c>
      <c r="C246">
        <v>296</v>
      </c>
      <c r="H246">
        <v>100.5</v>
      </c>
    </row>
    <row r="247" spans="2:8" ht="12.75">
      <c r="B247">
        <v>88</v>
      </c>
      <c r="C247">
        <v>57</v>
      </c>
      <c r="H247">
        <v>151.83333333333334</v>
      </c>
    </row>
    <row r="248" spans="2:8" ht="12.75">
      <c r="B248">
        <v>89</v>
      </c>
      <c r="C248">
        <v>81</v>
      </c>
      <c r="H248">
        <v>279.5</v>
      </c>
    </row>
    <row r="249" spans="2:9" ht="12.75">
      <c r="B249">
        <v>90</v>
      </c>
      <c r="F249">
        <v>21.52</v>
      </c>
      <c r="I249">
        <v>102</v>
      </c>
    </row>
    <row r="250" spans="2:9" ht="12.75">
      <c r="B250">
        <v>91</v>
      </c>
      <c r="F250">
        <v>18.58</v>
      </c>
      <c r="I250">
        <v>119</v>
      </c>
    </row>
    <row r="251" spans="2:9" ht="12.75">
      <c r="B251">
        <v>92</v>
      </c>
      <c r="F251">
        <v>15.65</v>
      </c>
      <c r="I251">
        <v>102</v>
      </c>
    </row>
    <row r="252" spans="2:9" ht="12.75">
      <c r="B252">
        <v>93</v>
      </c>
      <c r="F252">
        <v>27.46</v>
      </c>
      <c r="I252">
        <v>139</v>
      </c>
    </row>
  </sheetData>
  <printOptions/>
  <pageMargins left="0.75" right="0.75" top="1" bottom="1" header="0.5" footer="0.5"/>
  <pageSetup orientation="portrait" r:id="rId2"/>
  <drawing r:id="rId1"/>
</worksheet>
</file>

<file path=xl/worksheets/sheet10.xml><?xml version="1.0" encoding="utf-8"?>
<worksheet xmlns="http://schemas.openxmlformats.org/spreadsheetml/2006/main" xmlns:r="http://schemas.openxmlformats.org/officeDocument/2006/relationships">
  <dimension ref="A1:X24"/>
  <sheetViews>
    <sheetView workbookViewId="0" topLeftCell="A1">
      <selection activeCell="K13" sqref="K13:K18"/>
    </sheetView>
  </sheetViews>
  <sheetFormatPr defaultColWidth="9.140625" defaultRowHeight="12.75"/>
  <cols>
    <col min="1" max="4" width="8.8515625" style="0" customWidth="1"/>
    <col min="5" max="5" width="13.7109375" style="0" customWidth="1"/>
    <col min="6" max="6" width="14.8515625" style="0" customWidth="1"/>
    <col min="7" max="11" width="8.8515625" style="0" customWidth="1"/>
    <col min="12" max="12" width="12.7109375" style="0" customWidth="1"/>
    <col min="13" max="13" width="14.8515625" style="0" customWidth="1"/>
    <col min="14" max="14" width="18.421875" style="0" customWidth="1"/>
    <col min="15" max="16384" width="8.8515625" style="0" customWidth="1"/>
  </cols>
  <sheetData>
    <row r="1" spans="1:21" ht="63.75">
      <c r="A1" s="7" t="s">
        <v>69</v>
      </c>
      <c r="B1" s="7" t="s">
        <v>57</v>
      </c>
      <c r="C1" s="7" t="s">
        <v>58</v>
      </c>
      <c r="D1" s="7" t="s">
        <v>59</v>
      </c>
      <c r="E1" s="7" t="s">
        <v>60</v>
      </c>
      <c r="F1" s="7" t="s">
        <v>92</v>
      </c>
      <c r="G1" s="7" t="s">
        <v>61</v>
      </c>
      <c r="H1" s="7" t="s">
        <v>62</v>
      </c>
      <c r="I1" s="7" t="s">
        <v>63</v>
      </c>
      <c r="J1" s="8" t="s">
        <v>64</v>
      </c>
      <c r="K1" s="8" t="s">
        <v>138</v>
      </c>
      <c r="L1" s="7" t="s">
        <v>1126</v>
      </c>
      <c r="M1" s="7" t="s">
        <v>1127</v>
      </c>
      <c r="N1" s="7" t="s">
        <v>66</v>
      </c>
      <c r="O1" s="7" t="s">
        <v>85</v>
      </c>
      <c r="P1" s="7" t="s">
        <v>67</v>
      </c>
      <c r="Q1" s="7" t="s">
        <v>68</v>
      </c>
      <c r="R1" s="10"/>
      <c r="S1" s="10"/>
      <c r="T1" s="10"/>
      <c r="U1" s="10"/>
    </row>
    <row r="2" spans="1:16" ht="12.75">
      <c r="A2">
        <v>188</v>
      </c>
      <c r="B2" s="12" t="s">
        <v>683</v>
      </c>
      <c r="D2" t="s">
        <v>857</v>
      </c>
      <c r="E2" t="s">
        <v>571</v>
      </c>
      <c r="F2" t="s">
        <v>572</v>
      </c>
      <c r="G2" t="s">
        <v>102</v>
      </c>
      <c r="H2" t="s">
        <v>94</v>
      </c>
      <c r="I2" t="s">
        <v>579</v>
      </c>
      <c r="J2">
        <v>0.6194677363504927</v>
      </c>
      <c r="K2">
        <v>1.8633397333409452</v>
      </c>
      <c r="L2" t="s">
        <v>87</v>
      </c>
      <c r="M2" t="s">
        <v>1128</v>
      </c>
      <c r="N2" t="s">
        <v>7</v>
      </c>
      <c r="O2">
        <v>0.8403</v>
      </c>
      <c r="P2">
        <v>6</v>
      </c>
    </row>
    <row r="3" spans="1:16" ht="12.75">
      <c r="A3">
        <v>188</v>
      </c>
      <c r="B3" s="12" t="s">
        <v>683</v>
      </c>
      <c r="D3" t="s">
        <v>857</v>
      </c>
      <c r="E3" t="s">
        <v>571</v>
      </c>
      <c r="F3" t="s">
        <v>572</v>
      </c>
      <c r="G3" t="s">
        <v>102</v>
      </c>
      <c r="H3" t="s">
        <v>94</v>
      </c>
      <c r="I3" t="s">
        <v>580</v>
      </c>
      <c r="J3">
        <v>0.581321345024437</v>
      </c>
      <c r="K3">
        <v>1.9030732666212726</v>
      </c>
      <c r="L3" t="s">
        <v>892</v>
      </c>
      <c r="M3" t="s">
        <v>1128</v>
      </c>
      <c r="N3" t="s">
        <v>7</v>
      </c>
      <c r="O3">
        <v>0.7184</v>
      </c>
      <c r="P3">
        <v>6</v>
      </c>
    </row>
    <row r="4" spans="1:16" ht="12.75">
      <c r="A4">
        <v>188</v>
      </c>
      <c r="B4" s="12" t="s">
        <v>683</v>
      </c>
      <c r="D4" t="s">
        <v>857</v>
      </c>
      <c r="E4" t="s">
        <v>571</v>
      </c>
      <c r="F4" t="s">
        <v>572</v>
      </c>
      <c r="G4" t="s">
        <v>102</v>
      </c>
      <c r="H4" t="s">
        <v>94</v>
      </c>
      <c r="I4" t="s">
        <v>581</v>
      </c>
      <c r="J4">
        <v>0.2740806795722685</v>
      </c>
      <c r="K4">
        <v>0.4478694408110257</v>
      </c>
      <c r="L4" t="s">
        <v>87</v>
      </c>
      <c r="M4" t="s">
        <v>1128</v>
      </c>
      <c r="N4" t="s">
        <v>107</v>
      </c>
      <c r="O4">
        <v>0.9477</v>
      </c>
      <c r="P4">
        <v>6</v>
      </c>
    </row>
    <row r="5" ht="12.75">
      <c r="B5" s="12"/>
    </row>
    <row r="6" ht="12.75">
      <c r="B6" s="12"/>
    </row>
    <row r="7" ht="12.75">
      <c r="B7" s="12"/>
    </row>
    <row r="9" spans="10:24" ht="12.75">
      <c r="J9" t="s">
        <v>816</v>
      </c>
      <c r="K9" t="s">
        <v>816</v>
      </c>
      <c r="L9" t="s">
        <v>816</v>
      </c>
      <c r="M9" t="s">
        <v>701</v>
      </c>
      <c r="N9" t="s">
        <v>816</v>
      </c>
      <c r="V9" t="s">
        <v>816</v>
      </c>
      <c r="W9" t="s">
        <v>816</v>
      </c>
      <c r="X9" t="s">
        <v>816</v>
      </c>
    </row>
    <row r="11" spans="2:24" ht="12.75">
      <c r="B11" s="46" t="s">
        <v>573</v>
      </c>
      <c r="C11" s="52" t="s">
        <v>971</v>
      </c>
      <c r="D11" s="52" t="s">
        <v>970</v>
      </c>
      <c r="E11" s="52" t="s">
        <v>575</v>
      </c>
      <c r="G11" t="s">
        <v>577</v>
      </c>
      <c r="I11" s="46" t="s">
        <v>573</v>
      </c>
      <c r="J11" s="52" t="s">
        <v>971</v>
      </c>
      <c r="K11" s="52" t="s">
        <v>970</v>
      </c>
      <c r="L11" s="52" t="s">
        <v>575</v>
      </c>
      <c r="N11" t="s">
        <v>577</v>
      </c>
      <c r="R11" t="s">
        <v>971</v>
      </c>
      <c r="S11" t="s">
        <v>970</v>
      </c>
      <c r="T11" t="s">
        <v>575</v>
      </c>
      <c r="V11" t="s">
        <v>971</v>
      </c>
      <c r="W11" t="s">
        <v>970</v>
      </c>
      <c r="X11" t="s">
        <v>575</v>
      </c>
    </row>
    <row r="12" spans="2:24" ht="13.5" thickBot="1">
      <c r="B12" s="48"/>
      <c r="C12" s="53" t="s">
        <v>1119</v>
      </c>
      <c r="D12" s="53" t="s">
        <v>574</v>
      </c>
      <c r="E12" s="53" t="s">
        <v>576</v>
      </c>
      <c r="G12" t="s">
        <v>1119</v>
      </c>
      <c r="I12" s="48"/>
      <c r="J12" s="53" t="s">
        <v>1119</v>
      </c>
      <c r="K12" s="53" t="s">
        <v>574</v>
      </c>
      <c r="L12" s="53" t="s">
        <v>576</v>
      </c>
      <c r="N12" t="s">
        <v>1119</v>
      </c>
      <c r="P12" t="s">
        <v>189</v>
      </c>
      <c r="Q12" t="s">
        <v>190</v>
      </c>
      <c r="R12" t="s">
        <v>1119</v>
      </c>
      <c r="S12" t="s">
        <v>574</v>
      </c>
      <c r="T12" t="s">
        <v>576</v>
      </c>
      <c r="V12" t="s">
        <v>1119</v>
      </c>
      <c r="W12" t="s">
        <v>574</v>
      </c>
      <c r="X12" t="s">
        <v>576</v>
      </c>
    </row>
    <row r="13" spans="2:24" ht="12.75">
      <c r="B13" s="23">
        <v>808921</v>
      </c>
      <c r="C13" s="54">
        <v>32</v>
      </c>
      <c r="D13" s="54">
        <v>94</v>
      </c>
      <c r="E13" s="54">
        <v>2.94</v>
      </c>
      <c r="G13">
        <v>68</v>
      </c>
      <c r="I13" s="23"/>
      <c r="J13" s="54">
        <f aca="true" t="shared" si="0" ref="J13:L18">LOG(C13)</f>
        <v>1.505149978319906</v>
      </c>
      <c r="K13" s="54">
        <f t="shared" si="0"/>
        <v>1.9731278535996986</v>
      </c>
      <c r="L13" s="54">
        <f t="shared" si="0"/>
        <v>0.46834733041215726</v>
      </c>
      <c r="N13">
        <f>LOG(G13)</f>
        <v>1.8325089127062364</v>
      </c>
      <c r="O13">
        <v>1</v>
      </c>
      <c r="P13">
        <f aca="true" t="shared" si="1" ref="P13:P18">(O13-3/8)/6.25</f>
        <v>0.1</v>
      </c>
      <c r="Q13">
        <f aca="true" t="shared" si="2" ref="Q13:Q18">NORMSINV(P13)</f>
        <v>-1.2815519393373522</v>
      </c>
      <c r="R13">
        <v>11</v>
      </c>
      <c r="S13">
        <v>40</v>
      </c>
      <c r="T13">
        <v>0.6</v>
      </c>
      <c r="V13">
        <v>1.0413926851582251</v>
      </c>
      <c r="W13">
        <v>1.6020599913279623</v>
      </c>
      <c r="X13">
        <v>-0.2218487496163564</v>
      </c>
    </row>
    <row r="14" spans="2:24" ht="12.75">
      <c r="B14" s="23">
        <v>730922</v>
      </c>
      <c r="C14" s="54">
        <v>37</v>
      </c>
      <c r="D14" s="54">
        <v>79</v>
      </c>
      <c r="E14" s="54">
        <v>2.14</v>
      </c>
      <c r="G14">
        <v>12</v>
      </c>
      <c r="I14" s="23"/>
      <c r="J14" s="54">
        <f t="shared" si="0"/>
        <v>1.568201724066995</v>
      </c>
      <c r="K14" s="54">
        <f t="shared" si="0"/>
        <v>1.8976270912904414</v>
      </c>
      <c r="L14" s="54">
        <f t="shared" si="0"/>
        <v>0.33041377334919086</v>
      </c>
      <c r="N14">
        <f>LOG(G14)</f>
        <v>1.0791812460476249</v>
      </c>
      <c r="O14">
        <v>2</v>
      </c>
      <c r="P14">
        <f t="shared" si="1"/>
        <v>0.26</v>
      </c>
      <c r="Q14">
        <f t="shared" si="2"/>
        <v>-0.6433452029738813</v>
      </c>
      <c r="R14">
        <v>32</v>
      </c>
      <c r="S14">
        <v>44</v>
      </c>
      <c r="T14">
        <v>1.99</v>
      </c>
      <c r="V14">
        <v>1.505149978319906</v>
      </c>
      <c r="W14">
        <v>1.6434526764861874</v>
      </c>
      <c r="X14">
        <v>0.29885307640970665</v>
      </c>
    </row>
    <row r="15" spans="2:24" ht="12.75">
      <c r="B15" s="23">
        <v>102921</v>
      </c>
      <c r="C15" s="54">
        <v>11</v>
      </c>
      <c r="D15" s="54">
        <v>40</v>
      </c>
      <c r="E15" s="54">
        <v>3.64</v>
      </c>
      <c r="G15">
        <v>10</v>
      </c>
      <c r="I15" s="23"/>
      <c r="J15" s="54">
        <f t="shared" si="0"/>
        <v>1.0413926851582251</v>
      </c>
      <c r="K15" s="54">
        <f t="shared" si="0"/>
        <v>1.6020599913279623</v>
      </c>
      <c r="L15" s="54">
        <f t="shared" si="0"/>
        <v>0.561101383649056</v>
      </c>
      <c r="N15">
        <f>LOG(G15)</f>
        <v>1</v>
      </c>
      <c r="O15">
        <v>3</v>
      </c>
      <c r="P15">
        <f t="shared" si="1"/>
        <v>0.42</v>
      </c>
      <c r="Q15">
        <f t="shared" si="2"/>
        <v>-0.2018935396792244</v>
      </c>
      <c r="R15">
        <v>37</v>
      </c>
      <c r="S15">
        <v>79</v>
      </c>
      <c r="T15">
        <v>2.14</v>
      </c>
      <c r="V15">
        <v>1.568201724066995</v>
      </c>
      <c r="W15">
        <v>1.8976270912904414</v>
      </c>
      <c r="X15">
        <v>0.33041377334919086</v>
      </c>
    </row>
    <row r="16" spans="2:24" ht="12.75">
      <c r="B16" s="23">
        <v>814931</v>
      </c>
      <c r="C16" s="54">
        <v>73</v>
      </c>
      <c r="D16" s="54">
        <v>44</v>
      </c>
      <c r="E16" s="54">
        <v>0.6</v>
      </c>
      <c r="G16">
        <v>50</v>
      </c>
      <c r="I16" s="23"/>
      <c r="J16" s="54">
        <f t="shared" si="0"/>
        <v>1.863322860120456</v>
      </c>
      <c r="K16" s="54">
        <f t="shared" si="0"/>
        <v>1.6434526764861874</v>
      </c>
      <c r="L16" s="54">
        <f t="shared" si="0"/>
        <v>-0.2218487496163564</v>
      </c>
      <c r="N16">
        <f>LOG(G16)</f>
        <v>1.6989700043360187</v>
      </c>
      <c r="O16">
        <v>4</v>
      </c>
      <c r="P16">
        <f t="shared" si="1"/>
        <v>0.58</v>
      </c>
      <c r="Q16">
        <f t="shared" si="2"/>
        <v>0.20189353967922397</v>
      </c>
      <c r="R16">
        <v>40</v>
      </c>
      <c r="S16">
        <v>94</v>
      </c>
      <c r="T16">
        <v>2.38</v>
      </c>
      <c r="V16">
        <v>1.6020599913279623</v>
      </c>
      <c r="W16">
        <v>1.9731278535996986</v>
      </c>
      <c r="X16">
        <v>0.37657695705651195</v>
      </c>
    </row>
    <row r="17" spans="2:24" ht="12.75">
      <c r="B17" s="23">
        <v>1204931</v>
      </c>
      <c r="C17" s="54">
        <v>40</v>
      </c>
      <c r="D17" s="54">
        <v>94</v>
      </c>
      <c r="E17" s="54">
        <v>2.38</v>
      </c>
      <c r="G17">
        <v>18.5</v>
      </c>
      <c r="I17" s="23"/>
      <c r="J17" s="54">
        <f t="shared" si="0"/>
        <v>1.6020599913279623</v>
      </c>
      <c r="K17" s="54">
        <f t="shared" si="0"/>
        <v>1.9731278535996986</v>
      </c>
      <c r="L17" s="54">
        <f t="shared" si="0"/>
        <v>0.37657695705651195</v>
      </c>
      <c r="N17">
        <f>LOG(G17)</f>
        <v>1.2671717284030137</v>
      </c>
      <c r="O17">
        <v>5</v>
      </c>
      <c r="P17">
        <f t="shared" si="1"/>
        <v>0.74</v>
      </c>
      <c r="Q17">
        <f t="shared" si="2"/>
        <v>0.6433452029738806</v>
      </c>
      <c r="R17">
        <v>73</v>
      </c>
      <c r="S17">
        <v>94</v>
      </c>
      <c r="T17">
        <v>2.94</v>
      </c>
      <c r="V17">
        <v>1.863322860120456</v>
      </c>
      <c r="W17">
        <v>1.9731278535996986</v>
      </c>
      <c r="X17">
        <v>0.46834733041215726</v>
      </c>
    </row>
    <row r="18" spans="2:24" ht="12.75">
      <c r="B18" s="23">
        <v>304931</v>
      </c>
      <c r="C18" s="54">
        <v>768</v>
      </c>
      <c r="D18" s="54">
        <v>1532</v>
      </c>
      <c r="E18" s="54">
        <v>1.99</v>
      </c>
      <c r="G18" t="s">
        <v>578</v>
      </c>
      <c r="I18" s="23"/>
      <c r="J18" s="54">
        <f t="shared" si="0"/>
        <v>2.885361220031512</v>
      </c>
      <c r="K18" s="54">
        <f t="shared" si="0"/>
        <v>3.185258765296585</v>
      </c>
      <c r="L18" s="54">
        <f t="shared" si="0"/>
        <v>0.29885307640970665</v>
      </c>
      <c r="O18">
        <v>6</v>
      </c>
      <c r="P18">
        <f t="shared" si="1"/>
        <v>0.9</v>
      </c>
      <c r="Q18">
        <f t="shared" si="2"/>
        <v>1.2815519393373522</v>
      </c>
      <c r="R18">
        <v>768</v>
      </c>
      <c r="S18">
        <v>1532</v>
      </c>
      <c r="T18">
        <v>3.64</v>
      </c>
      <c r="V18">
        <v>2.885361220031512</v>
      </c>
      <c r="W18">
        <v>3.185258765296585</v>
      </c>
      <c r="X18">
        <v>0.561101383649056</v>
      </c>
    </row>
    <row r="20" spans="1:14" ht="12.75">
      <c r="A20" t="s">
        <v>134</v>
      </c>
      <c r="C20">
        <f>AVERAGE(C13:C18)</f>
        <v>160.16666666666666</v>
      </c>
      <c r="D20">
        <f>AVERAGE(D13:D18)</f>
        <v>313.8333333333333</v>
      </c>
      <c r="E20">
        <f>AVERAGE(E13:E18)</f>
        <v>2.2816666666666667</v>
      </c>
      <c r="G20">
        <f>AVERAGE(G13:G18)</f>
        <v>31.7</v>
      </c>
      <c r="J20">
        <f>AVERAGE(J13:J18)</f>
        <v>1.7442480765041761</v>
      </c>
      <c r="K20">
        <f>AVERAGE(K13:K18)</f>
        <v>2.0457757052667622</v>
      </c>
      <c r="L20">
        <f>AVERAGE(L13:L18)</f>
        <v>0.30224062854337774</v>
      </c>
      <c r="N20">
        <f>AVERAGE(N13:N18)</f>
        <v>1.3755663782985788</v>
      </c>
    </row>
    <row r="21" spans="1:14" ht="12.75">
      <c r="A21" t="s">
        <v>135</v>
      </c>
      <c r="C21">
        <f>STDEV(C13:C18)</f>
        <v>298.4449139567747</v>
      </c>
      <c r="D21">
        <f>STDEV(D13:D18)</f>
        <v>597.2478268413093</v>
      </c>
      <c r="E21">
        <f>STDEV(E13:E18)</f>
        <v>1.021888774117157</v>
      </c>
      <c r="G21">
        <f>STDEV(G13:G18)</f>
        <v>25.91235226682441</v>
      </c>
      <c r="J21">
        <f>STDEV(J13:J18)</f>
        <v>0.6194677363504927</v>
      </c>
      <c r="K21">
        <f>STDEV(K13:K18)</f>
        <v>0.581321345024437</v>
      </c>
      <c r="L21">
        <f>STDEV(L13:L18)</f>
        <v>0.2740806795722685</v>
      </c>
      <c r="N21">
        <f>STDEV(N13:N18)</f>
        <v>0.3721659698100989</v>
      </c>
    </row>
    <row r="22" spans="1:14" ht="12.75">
      <c r="A22" t="s">
        <v>136</v>
      </c>
      <c r="C22">
        <f>COUNT(C13:C18)</f>
        <v>6</v>
      </c>
      <c r="D22">
        <f>COUNT(D13:D18)</f>
        <v>6</v>
      </c>
      <c r="E22">
        <f>COUNT(E13:E18)</f>
        <v>6</v>
      </c>
      <c r="G22">
        <f>COUNT(G13:G18)</f>
        <v>5</v>
      </c>
      <c r="J22">
        <f>COUNT(J13:J18)</f>
        <v>6</v>
      </c>
      <c r="K22">
        <f>COUNT(K13:K18)</f>
        <v>6</v>
      </c>
      <c r="L22">
        <f>COUNT(L13:L18)</f>
        <v>6</v>
      </c>
      <c r="N22">
        <f>COUNT(N13:N18)</f>
        <v>5</v>
      </c>
    </row>
    <row r="23" spans="1:7" ht="12.75">
      <c r="A23" t="s">
        <v>137</v>
      </c>
      <c r="C23">
        <f>(C21/C22^0.5)</f>
        <v>121.83962592048798</v>
      </c>
      <c r="D23">
        <f>(D21/D22^0.5)</f>
        <v>243.82540429122184</v>
      </c>
      <c r="E23">
        <f>(E21/E22^0.5)</f>
        <v>0.41718434507754204</v>
      </c>
      <c r="G23">
        <f>(G21/G22^0.5)</f>
        <v>11.58835622510803</v>
      </c>
    </row>
    <row r="24" spans="1:7" ht="12.75">
      <c r="A24" t="s">
        <v>138</v>
      </c>
      <c r="C24">
        <f>C21/C20</f>
        <v>1.8633397333409452</v>
      </c>
      <c r="D24">
        <f>D21/D20</f>
        <v>1.9030732666212726</v>
      </c>
      <c r="E24">
        <f>E21/E20</f>
        <v>0.4478694408110257</v>
      </c>
      <c r="G24">
        <f>G21/G20</f>
        <v>0.8174243617294766</v>
      </c>
    </row>
  </sheetData>
  <printOptions/>
  <pageMargins left="0.75" right="0.75" top="1" bottom="1" header="0.5" footer="0.5"/>
  <pageSetup orientation="portrait"/>
  <drawing r:id="rId1"/>
</worksheet>
</file>

<file path=xl/worksheets/sheet11.xml><?xml version="1.0" encoding="utf-8"?>
<worksheet xmlns="http://schemas.openxmlformats.org/spreadsheetml/2006/main" xmlns:r="http://schemas.openxmlformats.org/officeDocument/2006/relationships">
  <dimension ref="A1:U22"/>
  <sheetViews>
    <sheetView workbookViewId="0" topLeftCell="D4">
      <selection activeCell="J51" sqref="J51"/>
    </sheetView>
  </sheetViews>
  <sheetFormatPr defaultColWidth="9.140625" defaultRowHeight="12.75"/>
  <cols>
    <col min="1" max="4" width="8.8515625" style="0" customWidth="1"/>
    <col min="5" max="5" width="15.8515625" style="0" customWidth="1"/>
    <col min="6" max="6" width="16.00390625" style="0" customWidth="1"/>
    <col min="7" max="11" width="8.8515625" style="0" customWidth="1"/>
    <col min="12" max="12" width="11.8515625" style="0" customWidth="1"/>
    <col min="13" max="13" width="11.421875" style="0" customWidth="1"/>
    <col min="14" max="14" width="10.28125" style="0" customWidth="1"/>
    <col min="15" max="16384" width="8.8515625" style="0" customWidth="1"/>
  </cols>
  <sheetData>
    <row r="1" spans="1:21" ht="63.75">
      <c r="A1" s="7" t="s">
        <v>69</v>
      </c>
      <c r="B1" s="7" t="s">
        <v>57</v>
      </c>
      <c r="C1" s="7" t="s">
        <v>58</v>
      </c>
      <c r="D1" s="7" t="s">
        <v>59</v>
      </c>
      <c r="E1" s="7" t="s">
        <v>60</v>
      </c>
      <c r="F1" s="7" t="s">
        <v>92</v>
      </c>
      <c r="G1" s="7" t="s">
        <v>61</v>
      </c>
      <c r="H1" s="7" t="s">
        <v>62</v>
      </c>
      <c r="I1" s="7" t="s">
        <v>63</v>
      </c>
      <c r="J1" s="8" t="s">
        <v>64</v>
      </c>
      <c r="K1" s="8" t="s">
        <v>138</v>
      </c>
      <c r="L1" s="7" t="s">
        <v>1126</v>
      </c>
      <c r="M1" s="7" t="s">
        <v>1127</v>
      </c>
      <c r="N1" s="7" t="s">
        <v>66</v>
      </c>
      <c r="O1" s="7" t="s">
        <v>85</v>
      </c>
      <c r="P1" s="7" t="s">
        <v>67</v>
      </c>
      <c r="Q1" s="7" t="s">
        <v>68</v>
      </c>
      <c r="R1" s="10"/>
      <c r="S1" s="10"/>
      <c r="T1" s="10"/>
      <c r="U1" s="10"/>
    </row>
    <row r="2" spans="1:16" ht="12.75">
      <c r="A2">
        <v>35</v>
      </c>
      <c r="B2" t="s">
        <v>582</v>
      </c>
      <c r="D2" t="s">
        <v>583</v>
      </c>
      <c r="E2" t="s">
        <v>603</v>
      </c>
      <c r="G2" t="s">
        <v>102</v>
      </c>
      <c r="H2" t="s">
        <v>94</v>
      </c>
      <c r="I2" t="s">
        <v>584</v>
      </c>
      <c r="J2">
        <v>0.4177721385051535</v>
      </c>
      <c r="K2" s="1">
        <v>0.8242203302265498</v>
      </c>
      <c r="L2" t="s">
        <v>87</v>
      </c>
      <c r="M2" t="s">
        <v>797</v>
      </c>
      <c r="N2" t="s">
        <v>95</v>
      </c>
      <c r="O2">
        <v>0.9598</v>
      </c>
      <c r="P2">
        <v>10</v>
      </c>
    </row>
    <row r="3" spans="5:7" ht="12.75">
      <c r="E3" t="s">
        <v>602</v>
      </c>
      <c r="F3" t="s">
        <v>599</v>
      </c>
      <c r="G3" t="s">
        <v>598</v>
      </c>
    </row>
    <row r="4" spans="5:7" ht="12.75">
      <c r="E4" t="s">
        <v>600</v>
      </c>
      <c r="F4">
        <v>1.4</v>
      </c>
      <c r="G4">
        <v>1.6</v>
      </c>
    </row>
    <row r="5" spans="5:7" ht="12.75">
      <c r="E5" t="s">
        <v>601</v>
      </c>
      <c r="F5">
        <v>86</v>
      </c>
      <c r="G5">
        <v>1455</v>
      </c>
    </row>
    <row r="6" spans="3:15" ht="12.75">
      <c r="C6" t="s">
        <v>595</v>
      </c>
      <c r="E6" t="s">
        <v>596</v>
      </c>
      <c r="H6" t="s">
        <v>597</v>
      </c>
      <c r="J6" t="s">
        <v>147</v>
      </c>
      <c r="K6" t="s">
        <v>148</v>
      </c>
      <c r="L6" t="s">
        <v>596</v>
      </c>
      <c r="O6" t="s">
        <v>597</v>
      </c>
    </row>
    <row r="7" spans="2:15" ht="12.75">
      <c r="B7">
        <v>1</v>
      </c>
      <c r="C7" t="s">
        <v>585</v>
      </c>
      <c r="E7">
        <v>37.8</v>
      </c>
      <c r="H7">
        <f>LOG(E7)</f>
        <v>1.5774917998372253</v>
      </c>
      <c r="J7">
        <f>(B7-3/8)/10.25</f>
        <v>0.06097560975609756</v>
      </c>
      <c r="K7">
        <f>NORMSINV(J7)</f>
        <v>-1.5466353865887528</v>
      </c>
      <c r="L7">
        <v>4.8</v>
      </c>
      <c r="O7">
        <v>0.6812412373755872</v>
      </c>
    </row>
    <row r="8" spans="2:15" ht="12.75">
      <c r="B8">
        <v>2</v>
      </c>
      <c r="C8" t="s">
        <v>586</v>
      </c>
      <c r="E8">
        <v>49.7</v>
      </c>
      <c r="H8">
        <f aca="true" t="shared" si="0" ref="H8:H16">LOG(E8)</f>
        <v>1.6963563887333322</v>
      </c>
      <c r="J8">
        <f aca="true" t="shared" si="1" ref="J8:J16">(B8-3/8)/10.25</f>
        <v>0.15853658536585366</v>
      </c>
      <c r="K8">
        <f aca="true" t="shared" si="2" ref="K8:K16">NORMSINV(J8)</f>
        <v>-1.0004905705059994</v>
      </c>
      <c r="L8">
        <v>5.2</v>
      </c>
      <c r="O8">
        <v>0.7160033436347992</v>
      </c>
    </row>
    <row r="9" spans="2:15" ht="12.75">
      <c r="B9">
        <v>3</v>
      </c>
      <c r="C9" t="s">
        <v>587</v>
      </c>
      <c r="E9">
        <v>23.2</v>
      </c>
      <c r="H9">
        <f t="shared" si="0"/>
        <v>1.3654879848908996</v>
      </c>
      <c r="J9">
        <f t="shared" si="1"/>
        <v>0.25609756097560976</v>
      </c>
      <c r="K9">
        <f t="shared" si="2"/>
        <v>-0.6554232932405997</v>
      </c>
      <c r="L9">
        <v>12.9</v>
      </c>
      <c r="O9">
        <v>1.110589710299249</v>
      </c>
    </row>
    <row r="10" spans="2:15" ht="12.75">
      <c r="B10">
        <v>4</v>
      </c>
      <c r="C10" t="s">
        <v>588</v>
      </c>
      <c r="E10">
        <v>12.9</v>
      </c>
      <c r="H10">
        <f t="shared" si="0"/>
        <v>1.110589710299249</v>
      </c>
      <c r="J10">
        <f t="shared" si="1"/>
        <v>0.35365853658536583</v>
      </c>
      <c r="K10">
        <f t="shared" si="2"/>
        <v>-0.3754619162230459</v>
      </c>
      <c r="L10">
        <v>17.3</v>
      </c>
      <c r="O10">
        <v>1.2380461031287955</v>
      </c>
    </row>
    <row r="11" spans="2:15" ht="12.75">
      <c r="B11">
        <v>5</v>
      </c>
      <c r="C11" t="s">
        <v>589</v>
      </c>
      <c r="E11">
        <v>54.6</v>
      </c>
      <c r="H11">
        <f t="shared" si="0"/>
        <v>1.7371926427047373</v>
      </c>
      <c r="J11">
        <f t="shared" si="1"/>
        <v>0.45121951219512196</v>
      </c>
      <c r="K11">
        <f t="shared" si="2"/>
        <v>-0.12258073716776852</v>
      </c>
      <c r="L11">
        <v>18.8</v>
      </c>
      <c r="O11">
        <v>1.2741578492636798</v>
      </c>
    </row>
    <row r="12" spans="2:15" ht="12.75">
      <c r="B12">
        <v>6</v>
      </c>
      <c r="C12" t="s">
        <v>590</v>
      </c>
      <c r="E12">
        <v>17.3</v>
      </c>
      <c r="H12">
        <f t="shared" si="0"/>
        <v>1.2380461031287955</v>
      </c>
      <c r="J12">
        <f t="shared" si="1"/>
        <v>0.5487804878048781</v>
      </c>
      <c r="K12">
        <f t="shared" si="2"/>
        <v>0.12258073716776852</v>
      </c>
      <c r="L12">
        <v>23.2</v>
      </c>
      <c r="O12">
        <v>1.3654879848908996</v>
      </c>
    </row>
    <row r="13" spans="2:15" ht="12.75">
      <c r="B13">
        <v>7</v>
      </c>
      <c r="C13" t="s">
        <v>591</v>
      </c>
      <c r="E13">
        <v>4.8</v>
      </c>
      <c r="H13">
        <f t="shared" si="0"/>
        <v>0.6812412373755872</v>
      </c>
      <c r="J13">
        <f t="shared" si="1"/>
        <v>0.6463414634146342</v>
      </c>
      <c r="K13">
        <f t="shared" si="2"/>
        <v>0.3754619162230459</v>
      </c>
      <c r="L13">
        <v>37.8</v>
      </c>
      <c r="O13">
        <v>1.5774917998372253</v>
      </c>
    </row>
    <row r="14" spans="2:15" ht="12.75">
      <c r="B14">
        <v>8</v>
      </c>
      <c r="C14" t="s">
        <v>592</v>
      </c>
      <c r="E14">
        <v>83.6</v>
      </c>
      <c r="H14">
        <f t="shared" si="0"/>
        <v>1.9222062774390163</v>
      </c>
      <c r="J14">
        <f t="shared" si="1"/>
        <v>0.7439024390243902</v>
      </c>
      <c r="K14">
        <f t="shared" si="2"/>
        <v>0.6554232932405992</v>
      </c>
      <c r="L14">
        <v>49.7</v>
      </c>
      <c r="O14">
        <v>1.6963563887333322</v>
      </c>
    </row>
    <row r="15" spans="2:15" ht="12.75">
      <c r="B15">
        <v>9</v>
      </c>
      <c r="C15" t="s">
        <v>593</v>
      </c>
      <c r="E15">
        <v>5.2</v>
      </c>
      <c r="H15">
        <f t="shared" si="0"/>
        <v>0.7160033436347992</v>
      </c>
      <c r="J15">
        <f t="shared" si="1"/>
        <v>0.8414634146341463</v>
      </c>
      <c r="K15">
        <f t="shared" si="2"/>
        <v>1.000490570505999</v>
      </c>
      <c r="L15">
        <v>54.6</v>
      </c>
      <c r="O15">
        <v>1.7371926427047373</v>
      </c>
    </row>
    <row r="16" spans="2:15" ht="12.75">
      <c r="B16">
        <v>10</v>
      </c>
      <c r="C16" t="s">
        <v>594</v>
      </c>
      <c r="E16">
        <v>18.8</v>
      </c>
      <c r="H16">
        <f t="shared" si="0"/>
        <v>1.2741578492636798</v>
      </c>
      <c r="J16">
        <f t="shared" si="1"/>
        <v>0.9390243902439024</v>
      </c>
      <c r="K16">
        <f t="shared" si="2"/>
        <v>1.5466353865887519</v>
      </c>
      <c r="L16">
        <v>83.6</v>
      </c>
      <c r="O16">
        <v>1.9222062774390163</v>
      </c>
    </row>
    <row r="18" spans="3:8" ht="12.75">
      <c r="C18" t="s">
        <v>134</v>
      </c>
      <c r="E18">
        <f>AVERAGE(E7:E16)</f>
        <v>30.790000000000003</v>
      </c>
      <c r="H18">
        <f>AVERAGE(H7:H16)</f>
        <v>1.3318773337307321</v>
      </c>
    </row>
    <row r="19" spans="3:8" ht="12.75">
      <c r="C19" t="s">
        <v>135</v>
      </c>
      <c r="E19">
        <f>STDEV(E7:E16)</f>
        <v>25.37774396767547</v>
      </c>
      <c r="H19" s="1">
        <f>STDEV(H7:H16)</f>
        <v>0.4177721385051535</v>
      </c>
    </row>
    <row r="20" spans="3:5" ht="12.75">
      <c r="C20" t="s">
        <v>136</v>
      </c>
      <c r="E20">
        <f>COUNT(E7:E16)</f>
        <v>10</v>
      </c>
    </row>
    <row r="21" spans="3:5" ht="12.75">
      <c r="C21" t="s">
        <v>137</v>
      </c>
      <c r="E21">
        <f>(E19/E20^0.5)</f>
        <v>8.0251472814453</v>
      </c>
    </row>
    <row r="22" spans="3:5" ht="12.75">
      <c r="C22" t="s">
        <v>138</v>
      </c>
      <c r="E22" s="1">
        <f>E19/E18</f>
        <v>0.8242203302265498</v>
      </c>
    </row>
  </sheetData>
  <printOptions/>
  <pageMargins left="0.75" right="0.75" top="1" bottom="1" header="0.5" footer="0.5"/>
  <pageSetup orientation="portrait"/>
  <drawing r:id="rId1"/>
</worksheet>
</file>

<file path=xl/worksheets/sheet12.xml><?xml version="1.0" encoding="utf-8"?>
<worksheet xmlns="http://schemas.openxmlformats.org/spreadsheetml/2006/main" xmlns:r="http://schemas.openxmlformats.org/officeDocument/2006/relationships">
  <dimension ref="A1:U22"/>
  <sheetViews>
    <sheetView workbookViewId="0" topLeftCell="A1">
      <selection activeCell="H11" sqref="H11"/>
    </sheetView>
  </sheetViews>
  <sheetFormatPr defaultColWidth="9.140625" defaultRowHeight="12.75"/>
  <cols>
    <col min="1" max="4" width="8.8515625" style="0" customWidth="1"/>
    <col min="5" max="5" width="20.00390625" style="0" customWidth="1"/>
    <col min="6" max="6" width="14.7109375" style="0" customWidth="1"/>
    <col min="7" max="16384" width="8.8515625" style="0" customWidth="1"/>
  </cols>
  <sheetData>
    <row r="1" spans="1:21" ht="63.75">
      <c r="A1" s="7" t="s">
        <v>69</v>
      </c>
      <c r="B1" s="7" t="s">
        <v>57</v>
      </c>
      <c r="C1" s="7" t="s">
        <v>58</v>
      </c>
      <c r="D1" s="7" t="s">
        <v>59</v>
      </c>
      <c r="E1" s="7" t="s">
        <v>60</v>
      </c>
      <c r="F1" s="7" t="s">
        <v>92</v>
      </c>
      <c r="G1" s="7" t="s">
        <v>61</v>
      </c>
      <c r="H1" s="7" t="s">
        <v>62</v>
      </c>
      <c r="I1" s="7" t="s">
        <v>63</v>
      </c>
      <c r="J1" s="8" t="s">
        <v>64</v>
      </c>
      <c r="K1" s="8" t="s">
        <v>138</v>
      </c>
      <c r="L1" s="7" t="s">
        <v>1126</v>
      </c>
      <c r="M1" s="7" t="s">
        <v>1127</v>
      </c>
      <c r="N1" s="7" t="s">
        <v>66</v>
      </c>
      <c r="O1" s="7" t="s">
        <v>85</v>
      </c>
      <c r="P1" s="7" t="s">
        <v>67</v>
      </c>
      <c r="Q1" s="7" t="s">
        <v>68</v>
      </c>
      <c r="R1" s="10"/>
      <c r="S1" s="10"/>
      <c r="T1" s="10"/>
      <c r="U1" s="10"/>
    </row>
    <row r="2" spans="1:16" ht="12.75">
      <c r="A2">
        <v>116</v>
      </c>
      <c r="B2" t="s">
        <v>609</v>
      </c>
      <c r="D2" t="s">
        <v>1114</v>
      </c>
      <c r="E2" t="s">
        <v>610</v>
      </c>
      <c r="F2" t="s">
        <v>611</v>
      </c>
      <c r="G2" t="s">
        <v>102</v>
      </c>
      <c r="H2" t="s">
        <v>94</v>
      </c>
      <c r="I2" t="s">
        <v>612</v>
      </c>
      <c r="J2">
        <v>0.10949184120691365</v>
      </c>
      <c r="K2">
        <v>0.23333185410507476</v>
      </c>
      <c r="L2" t="s">
        <v>620</v>
      </c>
      <c r="M2" t="s">
        <v>797</v>
      </c>
      <c r="N2" t="s">
        <v>107</v>
      </c>
      <c r="O2">
        <v>0.9415</v>
      </c>
      <c r="P2">
        <v>5</v>
      </c>
    </row>
    <row r="3" spans="1:16" ht="12.75">
      <c r="A3">
        <v>116</v>
      </c>
      <c r="B3" t="s">
        <v>609</v>
      </c>
      <c r="D3" t="s">
        <v>1114</v>
      </c>
      <c r="E3" t="s">
        <v>610</v>
      </c>
      <c r="F3" t="s">
        <v>611</v>
      </c>
      <c r="G3" t="s">
        <v>102</v>
      </c>
      <c r="H3" t="s">
        <v>94</v>
      </c>
      <c r="I3" t="s">
        <v>613</v>
      </c>
      <c r="J3">
        <v>0.1778599712676077</v>
      </c>
      <c r="K3">
        <v>0.3872771117422998</v>
      </c>
      <c r="L3" t="s">
        <v>620</v>
      </c>
      <c r="M3" t="s">
        <v>797</v>
      </c>
      <c r="N3" t="s">
        <v>604</v>
      </c>
      <c r="O3">
        <v>0.901</v>
      </c>
      <c r="P3">
        <v>5</v>
      </c>
    </row>
    <row r="4" spans="1:16" ht="12.75">
      <c r="A4">
        <v>116</v>
      </c>
      <c r="B4" t="s">
        <v>609</v>
      </c>
      <c r="D4" t="s">
        <v>1114</v>
      </c>
      <c r="E4" t="s">
        <v>610</v>
      </c>
      <c r="F4" t="s">
        <v>611</v>
      </c>
      <c r="G4" t="s">
        <v>102</v>
      </c>
      <c r="H4" t="s">
        <v>94</v>
      </c>
      <c r="I4" t="s">
        <v>614</v>
      </c>
      <c r="J4">
        <v>0.0743724249545425</v>
      </c>
      <c r="K4">
        <v>0.17396269631651867</v>
      </c>
      <c r="L4" t="s">
        <v>620</v>
      </c>
      <c r="M4" t="s">
        <v>797</v>
      </c>
      <c r="N4" t="s">
        <v>604</v>
      </c>
      <c r="O4">
        <v>0.9601</v>
      </c>
      <c r="P4">
        <v>5</v>
      </c>
    </row>
    <row r="8" spans="7:20" ht="12.75">
      <c r="G8" t="s">
        <v>816</v>
      </c>
      <c r="H8" t="s">
        <v>816</v>
      </c>
      <c r="I8" t="s">
        <v>816</v>
      </c>
      <c r="R8" t="s">
        <v>816</v>
      </c>
      <c r="S8" t="s">
        <v>816</v>
      </c>
      <c r="T8" t="s">
        <v>816</v>
      </c>
    </row>
    <row r="10" spans="2:20" ht="12.75">
      <c r="B10" s="46" t="s">
        <v>615</v>
      </c>
      <c r="C10" s="52" t="s">
        <v>971</v>
      </c>
      <c r="D10" s="52" t="s">
        <v>970</v>
      </c>
      <c r="E10" s="52" t="s">
        <v>1129</v>
      </c>
      <c r="G10" s="52" t="s">
        <v>971</v>
      </c>
      <c r="H10" s="52" t="s">
        <v>970</v>
      </c>
      <c r="I10" s="52" t="s">
        <v>1129</v>
      </c>
      <c r="N10" t="s">
        <v>971</v>
      </c>
      <c r="O10" t="s">
        <v>970</v>
      </c>
      <c r="P10" t="s">
        <v>1129</v>
      </c>
      <c r="R10" t="s">
        <v>971</v>
      </c>
      <c r="S10" t="s">
        <v>970</v>
      </c>
      <c r="T10" t="s">
        <v>1129</v>
      </c>
    </row>
    <row r="11" spans="2:20" ht="13.5" thickBot="1">
      <c r="B11" s="48"/>
      <c r="C11" s="53" t="s">
        <v>1119</v>
      </c>
      <c r="D11" s="53" t="s">
        <v>616</v>
      </c>
      <c r="E11" s="53" t="s">
        <v>617</v>
      </c>
      <c r="G11" s="53" t="s">
        <v>1119</v>
      </c>
      <c r="H11" s="53" t="s">
        <v>616</v>
      </c>
      <c r="I11" s="53" t="s">
        <v>617</v>
      </c>
      <c r="L11" t="s">
        <v>189</v>
      </c>
      <c r="M11" t="s">
        <v>190</v>
      </c>
      <c r="N11" t="s">
        <v>1119</v>
      </c>
      <c r="O11" t="s">
        <v>616</v>
      </c>
      <c r="P11" t="s">
        <v>617</v>
      </c>
      <c r="R11" t="s">
        <v>1119</v>
      </c>
      <c r="S11" t="s">
        <v>616</v>
      </c>
      <c r="T11" t="s">
        <v>617</v>
      </c>
    </row>
    <row r="12" spans="2:20" ht="12.75">
      <c r="B12" s="23" t="s">
        <v>618</v>
      </c>
      <c r="C12" s="54">
        <v>51.1</v>
      </c>
      <c r="D12" s="54">
        <v>1.14</v>
      </c>
      <c r="E12" s="54">
        <v>22.4</v>
      </c>
      <c r="G12" s="54">
        <f aca="true" t="shared" si="0" ref="G12:I16">LOG(C12)</f>
        <v>1.7084209001347128</v>
      </c>
      <c r="H12" s="54">
        <f t="shared" si="0"/>
        <v>0.05690485133647256</v>
      </c>
      <c r="I12" s="54">
        <f t="shared" si="0"/>
        <v>1.3502480183341627</v>
      </c>
      <c r="K12">
        <v>1</v>
      </c>
      <c r="L12">
        <f>(K12-3/8)/5.25</f>
        <v>0.11904761904761904</v>
      </c>
      <c r="M12">
        <f>NORMSINV(L12)</f>
        <v>-1.1797614123624593</v>
      </c>
      <c r="N12">
        <v>25.8</v>
      </c>
      <c r="O12">
        <v>0.363</v>
      </c>
      <c r="P12">
        <v>14.1</v>
      </c>
      <c r="R12">
        <v>1.4116197059632303</v>
      </c>
      <c r="S12">
        <v>-0.4400933749638875</v>
      </c>
      <c r="T12">
        <v>1.14921911265538</v>
      </c>
    </row>
    <row r="13" spans="2:20" ht="12.75">
      <c r="B13" s="23" t="s">
        <v>619</v>
      </c>
      <c r="C13" s="54">
        <v>43.3</v>
      </c>
      <c r="D13" s="54">
        <v>0.723</v>
      </c>
      <c r="E13" s="54">
        <v>16.7</v>
      </c>
      <c r="G13" s="54">
        <f t="shared" si="0"/>
        <v>1.6364878963533653</v>
      </c>
      <c r="H13" s="54">
        <f t="shared" si="0"/>
        <v>-0.1408617027054692</v>
      </c>
      <c r="I13" s="54">
        <f t="shared" si="0"/>
        <v>1.2227164711475833</v>
      </c>
      <c r="K13">
        <v>2</v>
      </c>
      <c r="L13">
        <f>(K13-3/8)/5.25</f>
        <v>0.30952380952380953</v>
      </c>
      <c r="M13">
        <f>NORMSINV(L13)</f>
        <v>-0.49720055769908633</v>
      </c>
      <c r="N13">
        <v>38.3</v>
      </c>
      <c r="O13">
        <v>0.644</v>
      </c>
      <c r="P13">
        <v>16.7</v>
      </c>
      <c r="R13">
        <v>1.5831987739686226</v>
      </c>
      <c r="S13">
        <v>-0.1911141326401879</v>
      </c>
      <c r="T13">
        <v>1.2227164711475833</v>
      </c>
    </row>
    <row r="14" spans="2:20" ht="12.75">
      <c r="B14" s="23" t="s">
        <v>1074</v>
      </c>
      <c r="C14" s="54">
        <v>38.3</v>
      </c>
      <c r="D14" s="54">
        <v>0.644</v>
      </c>
      <c r="E14" s="54">
        <v>16.8</v>
      </c>
      <c r="G14" s="54">
        <f t="shared" si="0"/>
        <v>1.5831987739686226</v>
      </c>
      <c r="H14" s="54">
        <f t="shared" si="0"/>
        <v>-0.1911141326401879</v>
      </c>
      <c r="I14" s="54">
        <f t="shared" si="0"/>
        <v>1.2253092817258628</v>
      </c>
      <c r="K14">
        <v>3</v>
      </c>
      <c r="L14">
        <f>(K14-3/8)/5.25</f>
        <v>0.5</v>
      </c>
      <c r="M14">
        <f>NORMSINV(L14)</f>
        <v>5.471417352459603E-10</v>
      </c>
      <c r="N14">
        <v>38.7</v>
      </c>
      <c r="O14">
        <v>0.722</v>
      </c>
      <c r="P14">
        <v>16.8</v>
      </c>
      <c r="R14">
        <v>1.5877109650189114</v>
      </c>
      <c r="S14">
        <v>-0.14146280243036088</v>
      </c>
      <c r="T14">
        <v>1.2253092817258628</v>
      </c>
    </row>
    <row r="15" spans="2:20" ht="12.75">
      <c r="B15" s="23" t="s">
        <v>1078</v>
      </c>
      <c r="C15" s="54">
        <v>25.8</v>
      </c>
      <c r="D15" s="54">
        <v>0.363</v>
      </c>
      <c r="E15" s="54">
        <v>14.1</v>
      </c>
      <c r="G15" s="54">
        <f t="shared" si="0"/>
        <v>1.4116197059632303</v>
      </c>
      <c r="H15" s="54">
        <f t="shared" si="0"/>
        <v>-0.4400933749638875</v>
      </c>
      <c r="I15" s="54">
        <f t="shared" si="0"/>
        <v>1.14921911265538</v>
      </c>
      <c r="K15">
        <v>4</v>
      </c>
      <c r="L15">
        <f>(K15-3/8)/5.25</f>
        <v>0.6904761904761905</v>
      </c>
      <c r="M15">
        <f>NORMSINV(L15)</f>
        <v>0.49720055769908567</v>
      </c>
      <c r="N15">
        <v>43.3</v>
      </c>
      <c r="O15">
        <v>0.723</v>
      </c>
      <c r="P15">
        <v>18.9</v>
      </c>
      <c r="R15">
        <v>1.6364878963533653</v>
      </c>
      <c r="S15">
        <v>-0.1408617027054692</v>
      </c>
      <c r="T15">
        <v>1.276461804173244</v>
      </c>
    </row>
    <row r="16" spans="2:20" ht="12.75">
      <c r="B16" s="23" t="s">
        <v>1080</v>
      </c>
      <c r="C16" s="54">
        <v>38.7</v>
      </c>
      <c r="D16" s="54">
        <v>0.722</v>
      </c>
      <c r="E16" s="54">
        <v>18.9</v>
      </c>
      <c r="G16" s="54">
        <f t="shared" si="0"/>
        <v>1.5877109650189114</v>
      </c>
      <c r="H16" s="54">
        <f t="shared" si="0"/>
        <v>-0.14146280243036088</v>
      </c>
      <c r="I16" s="54">
        <f t="shared" si="0"/>
        <v>1.276461804173244</v>
      </c>
      <c r="K16">
        <v>5</v>
      </c>
      <c r="L16">
        <f>(K16-3/8)/5.25</f>
        <v>0.8809523809523809</v>
      </c>
      <c r="M16">
        <f>NORMSINV(L16)</f>
        <v>1.1797614123624593</v>
      </c>
      <c r="N16">
        <v>51.1</v>
      </c>
      <c r="O16">
        <v>1.14</v>
      </c>
      <c r="P16">
        <v>22.4</v>
      </c>
      <c r="R16">
        <v>1.7084209001347128</v>
      </c>
      <c r="S16">
        <v>0.05690485133647256</v>
      </c>
      <c r="T16">
        <v>1.3502480183341627</v>
      </c>
    </row>
    <row r="18" spans="1:9" ht="12.75">
      <c r="A18" t="s">
        <v>134</v>
      </c>
      <c r="C18">
        <f>AVERAGE(C12:C16)</f>
        <v>39.44</v>
      </c>
      <c r="D18">
        <f>AVERAGE(D12:D16)</f>
        <v>0.7184</v>
      </c>
      <c r="E18">
        <f>AVERAGE(E12:E16)</f>
        <v>17.779999999999994</v>
      </c>
      <c r="G18">
        <f>AVERAGE(G12:G16)</f>
        <v>1.5854876482877684</v>
      </c>
      <c r="H18">
        <f>AVERAGE(H12:H16)</f>
        <v>-0.17132543228068658</v>
      </c>
      <c r="I18">
        <f>AVERAGE(I12:I16)</f>
        <v>1.2447909376072466</v>
      </c>
    </row>
    <row r="19" spans="1:9" ht="12.75">
      <c r="A19" t="s">
        <v>135</v>
      </c>
      <c r="C19">
        <f>STDEV(C12:C16)</f>
        <v>9.202608325904148</v>
      </c>
      <c r="D19">
        <f>STDEV(D12:D16)</f>
        <v>0.2782198770756682</v>
      </c>
      <c r="E19">
        <f>STDEV(E12:E16)</f>
        <v>3.0930567405077007</v>
      </c>
      <c r="G19" s="1">
        <f>STDEV(G12:G16)</f>
        <v>0.10949184120691365</v>
      </c>
      <c r="H19" s="1">
        <f>STDEV(H12:H16)</f>
        <v>0.1778599712676077</v>
      </c>
      <c r="I19" s="1">
        <f>STDEV(I12:I16)</f>
        <v>0.0743724249545425</v>
      </c>
    </row>
    <row r="20" spans="1:9" ht="12.75">
      <c r="A20" t="s">
        <v>136</v>
      </c>
      <c r="C20">
        <f>COUNT(C12:C16)</f>
        <v>5</v>
      </c>
      <c r="D20">
        <f>COUNT(D12:D16)</f>
        <v>5</v>
      </c>
      <c r="E20">
        <f>COUNT(E12:E16)</f>
        <v>5</v>
      </c>
      <c r="G20">
        <f>COUNT(G12:G16)</f>
        <v>5</v>
      </c>
      <c r="H20">
        <f>COUNT(H12:H16)</f>
        <v>5</v>
      </c>
      <c r="I20">
        <f>COUNT(I12:I16)</f>
        <v>5</v>
      </c>
    </row>
    <row r="21" spans="1:5" ht="12.75">
      <c r="A21" t="s">
        <v>137</v>
      </c>
      <c r="C21">
        <f>(C19/C20^0.5)</f>
        <v>4.1155315574054425</v>
      </c>
      <c r="D21">
        <f>(D19/D20^0.5)</f>
        <v>0.1244237115665659</v>
      </c>
      <c r="E21">
        <f>(E19/E20^0.5)</f>
        <v>1.3832570260078292</v>
      </c>
    </row>
    <row r="22" spans="1:5" ht="12.75">
      <c r="A22" t="s">
        <v>138</v>
      </c>
      <c r="C22" s="1">
        <f>C19/C18</f>
        <v>0.23333185410507476</v>
      </c>
      <c r="D22" s="1">
        <f>D19/D18</f>
        <v>0.3872771117422998</v>
      </c>
      <c r="E22" s="1">
        <f>E19/E18</f>
        <v>0.17396269631651867</v>
      </c>
    </row>
  </sheetData>
  <printOptions/>
  <pageMargins left="0.75" right="0.75" top="1" bottom="1" header="0.5" footer="0.5"/>
  <pageSetup orientation="portrait"/>
  <drawing r:id="rId1"/>
</worksheet>
</file>

<file path=xl/worksheets/sheet13.xml><?xml version="1.0" encoding="utf-8"?>
<worksheet xmlns="http://schemas.openxmlformats.org/spreadsheetml/2006/main" xmlns:r="http://schemas.openxmlformats.org/officeDocument/2006/relationships">
  <dimension ref="A1:W25"/>
  <sheetViews>
    <sheetView workbookViewId="0" topLeftCell="A1">
      <selection activeCell="L12" sqref="L12"/>
    </sheetView>
  </sheetViews>
  <sheetFormatPr defaultColWidth="9.140625" defaultRowHeight="12.75"/>
  <cols>
    <col min="1" max="4" width="8.8515625" style="0" customWidth="1"/>
    <col min="5" max="5" width="14.8515625" style="0" customWidth="1"/>
    <col min="6" max="11" width="8.8515625" style="0" customWidth="1"/>
    <col min="12" max="12" width="15.7109375" style="0" customWidth="1"/>
    <col min="13" max="13" width="11.00390625" style="0" customWidth="1"/>
    <col min="14" max="14" width="12.00390625" style="0" customWidth="1"/>
    <col min="15" max="16384" width="8.8515625" style="0" customWidth="1"/>
  </cols>
  <sheetData>
    <row r="1" spans="1:21" ht="66.75" customHeight="1">
      <c r="A1" s="7" t="s">
        <v>69</v>
      </c>
      <c r="B1" s="7" t="s">
        <v>57</v>
      </c>
      <c r="C1" s="7" t="s">
        <v>58</v>
      </c>
      <c r="D1" s="7" t="s">
        <v>59</v>
      </c>
      <c r="E1" s="7" t="s">
        <v>60</v>
      </c>
      <c r="F1" s="7" t="s">
        <v>92</v>
      </c>
      <c r="G1" s="7" t="s">
        <v>61</v>
      </c>
      <c r="H1" s="7" t="s">
        <v>62</v>
      </c>
      <c r="I1" s="7" t="s">
        <v>63</v>
      </c>
      <c r="J1" s="8" t="s">
        <v>64</v>
      </c>
      <c r="K1" s="8" t="s">
        <v>138</v>
      </c>
      <c r="L1" s="7" t="s">
        <v>1126</v>
      </c>
      <c r="M1" s="7" t="s">
        <v>1127</v>
      </c>
      <c r="N1" s="7" t="s">
        <v>66</v>
      </c>
      <c r="O1" s="7" t="s">
        <v>85</v>
      </c>
      <c r="P1" s="7" t="s">
        <v>67</v>
      </c>
      <c r="Q1" s="7" t="s">
        <v>68</v>
      </c>
      <c r="R1" s="10"/>
      <c r="S1" s="10"/>
      <c r="T1" s="10"/>
      <c r="U1" s="10"/>
    </row>
    <row r="2" spans="1:16" ht="12.75">
      <c r="A2">
        <v>288</v>
      </c>
      <c r="B2" t="s">
        <v>621</v>
      </c>
      <c r="D2" t="s">
        <v>627</v>
      </c>
      <c r="E2" t="s">
        <v>625</v>
      </c>
      <c r="F2" t="s">
        <v>626</v>
      </c>
      <c r="G2" t="s">
        <v>102</v>
      </c>
      <c r="H2" t="s">
        <v>94</v>
      </c>
      <c r="I2" t="s">
        <v>496</v>
      </c>
      <c r="J2">
        <v>0.17325470118555253</v>
      </c>
      <c r="K2">
        <v>0.4141118612539515</v>
      </c>
      <c r="L2" t="s">
        <v>988</v>
      </c>
      <c r="M2" t="s">
        <v>508</v>
      </c>
      <c r="N2" t="s">
        <v>95</v>
      </c>
      <c r="O2">
        <v>0.8873</v>
      </c>
      <c r="P2">
        <v>6</v>
      </c>
    </row>
    <row r="3" spans="1:16" ht="12.75">
      <c r="A3">
        <v>288</v>
      </c>
      <c r="B3" t="s">
        <v>621</v>
      </c>
      <c r="D3" t="s">
        <v>627</v>
      </c>
      <c r="E3" t="s">
        <v>625</v>
      </c>
      <c r="F3" t="s">
        <v>626</v>
      </c>
      <c r="G3" t="s">
        <v>102</v>
      </c>
      <c r="H3" t="s">
        <v>94</v>
      </c>
      <c r="I3" t="s">
        <v>497</v>
      </c>
      <c r="J3">
        <v>0.21045674345119048</v>
      </c>
      <c r="K3">
        <v>0.4122151677216326</v>
      </c>
      <c r="L3" t="s">
        <v>988</v>
      </c>
      <c r="M3" t="s">
        <v>797</v>
      </c>
      <c r="N3" t="s">
        <v>107</v>
      </c>
      <c r="O3">
        <v>0.9608</v>
      </c>
      <c r="P3">
        <v>6</v>
      </c>
    </row>
    <row r="4" spans="1:16" ht="12.75">
      <c r="A4">
        <v>288</v>
      </c>
      <c r="B4" t="s">
        <v>621</v>
      </c>
      <c r="D4" t="s">
        <v>627</v>
      </c>
      <c r="E4" t="s">
        <v>625</v>
      </c>
      <c r="F4" t="s">
        <v>626</v>
      </c>
      <c r="G4" t="s">
        <v>102</v>
      </c>
      <c r="H4" t="s">
        <v>94</v>
      </c>
      <c r="I4" t="s">
        <v>498</v>
      </c>
      <c r="J4">
        <v>0.18744323419050868</v>
      </c>
      <c r="K4">
        <v>0.44758139115800216</v>
      </c>
      <c r="L4" t="s">
        <v>988</v>
      </c>
      <c r="M4" t="s">
        <v>797</v>
      </c>
      <c r="N4" t="s">
        <v>95</v>
      </c>
      <c r="O4">
        <v>0.9356</v>
      </c>
      <c r="P4">
        <v>6</v>
      </c>
    </row>
    <row r="9" ht="12.75">
      <c r="B9" t="s">
        <v>622</v>
      </c>
    </row>
    <row r="10" ht="12.75">
      <c r="B10" t="s">
        <v>623</v>
      </c>
    </row>
    <row r="11" ht="12.75">
      <c r="B11" t="s">
        <v>624</v>
      </c>
    </row>
    <row r="12" spans="5:23" ht="13.5" thickBot="1">
      <c r="E12" s="22" t="s">
        <v>177</v>
      </c>
      <c r="F12" s="22" t="s">
        <v>505</v>
      </c>
      <c r="G12" s="22" t="s">
        <v>506</v>
      </c>
      <c r="H12" s="22" t="s">
        <v>507</v>
      </c>
      <c r="J12" s="52" t="s">
        <v>191</v>
      </c>
      <c r="K12" s="52" t="s">
        <v>188</v>
      </c>
      <c r="L12" s="52" t="s">
        <v>6</v>
      </c>
      <c r="O12" t="s">
        <v>189</v>
      </c>
      <c r="P12" t="s">
        <v>190</v>
      </c>
      <c r="Q12" t="s">
        <v>505</v>
      </c>
      <c r="R12" t="s">
        <v>506</v>
      </c>
      <c r="S12" t="s">
        <v>507</v>
      </c>
      <c r="U12" t="s">
        <v>191</v>
      </c>
      <c r="V12" t="s">
        <v>188</v>
      </c>
      <c r="W12" t="s">
        <v>6</v>
      </c>
    </row>
    <row r="13" spans="5:12" ht="13.5" thickBot="1">
      <c r="E13" s="46"/>
      <c r="F13" s="46"/>
      <c r="G13" s="46"/>
      <c r="H13" s="46"/>
      <c r="J13" s="53" t="s">
        <v>1119</v>
      </c>
      <c r="K13" s="59" t="s">
        <v>399</v>
      </c>
      <c r="L13" s="59"/>
    </row>
    <row r="14" spans="5:23" ht="12.75">
      <c r="E14" s="23" t="s">
        <v>499</v>
      </c>
      <c r="F14" s="23">
        <v>87.8</v>
      </c>
      <c r="G14" s="23">
        <v>481</v>
      </c>
      <c r="H14" s="23">
        <v>5.49</v>
      </c>
      <c r="J14" s="54">
        <f aca="true" t="shared" si="0" ref="J14:L19">LOG(F14)</f>
        <v>1.9434945159061026</v>
      </c>
      <c r="K14" s="54">
        <f t="shared" si="0"/>
        <v>2.682145076373832</v>
      </c>
      <c r="L14" s="54">
        <f t="shared" si="0"/>
        <v>0.7395723444500919</v>
      </c>
      <c r="N14">
        <v>1</v>
      </c>
      <c r="O14">
        <f aca="true" t="shared" si="1" ref="O14:O19">(N14-3/8)/6.25</f>
        <v>0.1</v>
      </c>
      <c r="P14">
        <f aca="true" t="shared" si="2" ref="P14:P19">NORMSINV(O14)</f>
        <v>-1.2815519393373522</v>
      </c>
      <c r="Q14">
        <v>52</v>
      </c>
      <c r="R14">
        <v>146</v>
      </c>
      <c r="S14">
        <v>2.08</v>
      </c>
      <c r="U14">
        <v>1.7160033436347992</v>
      </c>
      <c r="V14">
        <v>2.164352855784437</v>
      </c>
      <c r="W14">
        <v>0.31806333496276157</v>
      </c>
    </row>
    <row r="15" spans="5:23" ht="12.75">
      <c r="E15" s="23" t="s">
        <v>500</v>
      </c>
      <c r="F15" s="23">
        <v>101</v>
      </c>
      <c r="G15" s="23">
        <v>328</v>
      </c>
      <c r="H15" s="23">
        <v>3.25</v>
      </c>
      <c r="J15" s="54">
        <f t="shared" si="0"/>
        <v>2.0043213737826426</v>
      </c>
      <c r="K15" s="54">
        <f t="shared" si="0"/>
        <v>2.515873843711679</v>
      </c>
      <c r="L15" s="54">
        <f t="shared" si="0"/>
        <v>0.5118833609788743</v>
      </c>
      <c r="N15">
        <v>2</v>
      </c>
      <c r="O15">
        <f t="shared" si="1"/>
        <v>0.26</v>
      </c>
      <c r="P15">
        <f t="shared" si="2"/>
        <v>-0.6433452029738813</v>
      </c>
      <c r="Q15">
        <v>87.8</v>
      </c>
      <c r="R15">
        <v>323</v>
      </c>
      <c r="S15">
        <v>2.81</v>
      </c>
      <c r="U15">
        <v>1.9434945159061026</v>
      </c>
      <c r="V15">
        <v>2.509202522331103</v>
      </c>
      <c r="W15">
        <v>0.4487063199050799</v>
      </c>
    </row>
    <row r="16" spans="5:23" ht="12.75">
      <c r="E16" s="23" t="s">
        <v>501</v>
      </c>
      <c r="F16" s="23">
        <v>181</v>
      </c>
      <c r="G16" s="23">
        <v>376</v>
      </c>
      <c r="H16" s="23">
        <v>2.08</v>
      </c>
      <c r="J16" s="54">
        <f t="shared" si="0"/>
        <v>2.2576785748691846</v>
      </c>
      <c r="K16" s="54">
        <f t="shared" si="0"/>
        <v>2.575187844927661</v>
      </c>
      <c r="L16" s="54">
        <f t="shared" si="0"/>
        <v>0.31806333496276157</v>
      </c>
      <c r="N16">
        <v>3</v>
      </c>
      <c r="O16">
        <f t="shared" si="1"/>
        <v>0.42</v>
      </c>
      <c r="P16">
        <f t="shared" si="2"/>
        <v>-0.2018935396792244</v>
      </c>
      <c r="Q16">
        <v>91.6</v>
      </c>
      <c r="R16">
        <v>328</v>
      </c>
      <c r="S16">
        <v>3.14</v>
      </c>
      <c r="U16">
        <v>1.9618954736678504</v>
      </c>
      <c r="V16">
        <v>2.515873843711679</v>
      </c>
      <c r="W16">
        <v>0.49692964807321494</v>
      </c>
    </row>
    <row r="17" spans="5:23" ht="12.75">
      <c r="E17" s="23" t="s">
        <v>502</v>
      </c>
      <c r="F17" s="23">
        <v>52</v>
      </c>
      <c r="G17" s="23">
        <v>146</v>
      </c>
      <c r="H17" s="23">
        <v>2.81</v>
      </c>
      <c r="J17" s="54">
        <f t="shared" si="0"/>
        <v>1.7160033436347992</v>
      </c>
      <c r="K17" s="54">
        <f t="shared" si="0"/>
        <v>2.164352855784437</v>
      </c>
      <c r="L17" s="54">
        <f t="shared" si="0"/>
        <v>0.4487063199050799</v>
      </c>
      <c r="N17">
        <v>4</v>
      </c>
      <c r="O17">
        <f t="shared" si="1"/>
        <v>0.58</v>
      </c>
      <c r="P17">
        <f t="shared" si="2"/>
        <v>0.20189353967922397</v>
      </c>
      <c r="Q17">
        <v>101</v>
      </c>
      <c r="R17">
        <v>376</v>
      </c>
      <c r="S17">
        <v>3.25</v>
      </c>
      <c r="U17">
        <v>2.0043213737826426</v>
      </c>
      <c r="V17">
        <v>2.575187844927661</v>
      </c>
      <c r="W17">
        <v>0.5118833609788743</v>
      </c>
    </row>
    <row r="18" spans="5:23" ht="12.75">
      <c r="E18" s="23" t="s">
        <v>503</v>
      </c>
      <c r="F18" s="23">
        <v>103</v>
      </c>
      <c r="G18" s="23">
        <v>323</v>
      </c>
      <c r="H18" s="23">
        <v>3.14</v>
      </c>
      <c r="J18" s="54">
        <f t="shared" si="0"/>
        <v>2.012837224705172</v>
      </c>
      <c r="K18" s="54">
        <f t="shared" si="0"/>
        <v>2.509202522331103</v>
      </c>
      <c r="L18" s="54">
        <f t="shared" si="0"/>
        <v>0.49692964807321494</v>
      </c>
      <c r="N18">
        <v>5</v>
      </c>
      <c r="O18">
        <f t="shared" si="1"/>
        <v>0.74</v>
      </c>
      <c r="P18">
        <f t="shared" si="2"/>
        <v>0.6433452029738806</v>
      </c>
      <c r="Q18">
        <v>103</v>
      </c>
      <c r="R18">
        <v>481</v>
      </c>
      <c r="S18">
        <v>5.49</v>
      </c>
      <c r="U18">
        <v>2.012837224705172</v>
      </c>
      <c r="V18">
        <v>2.682145076373832</v>
      </c>
      <c r="W18">
        <v>0.7395723444500919</v>
      </c>
    </row>
    <row r="19" spans="5:23" ht="12.75">
      <c r="E19" s="23" t="s">
        <v>504</v>
      </c>
      <c r="F19" s="23">
        <v>91.6</v>
      </c>
      <c r="G19" s="23">
        <v>602</v>
      </c>
      <c r="H19" s="23">
        <v>6.57</v>
      </c>
      <c r="J19" s="54">
        <f t="shared" si="0"/>
        <v>1.9618954736678504</v>
      </c>
      <c r="K19" s="54">
        <f t="shared" si="0"/>
        <v>2.7795964912578244</v>
      </c>
      <c r="L19" s="54">
        <f t="shared" si="0"/>
        <v>0.8175653695597808</v>
      </c>
      <c r="N19">
        <v>6</v>
      </c>
      <c r="O19">
        <f t="shared" si="1"/>
        <v>0.9</v>
      </c>
      <c r="P19">
        <f t="shared" si="2"/>
        <v>1.2815519393373522</v>
      </c>
      <c r="Q19">
        <v>181</v>
      </c>
      <c r="R19">
        <v>602</v>
      </c>
      <c r="S19">
        <v>6.57</v>
      </c>
      <c r="U19">
        <v>2.2576785748691846</v>
      </c>
      <c r="V19">
        <v>2.7795964912578244</v>
      </c>
      <c r="W19">
        <v>0.8175653695597808</v>
      </c>
    </row>
    <row r="21" spans="4:12" ht="12.75">
      <c r="D21" t="s">
        <v>134</v>
      </c>
      <c r="F21">
        <f>AVERAGE(F14:F19)</f>
        <v>102.73333333333333</v>
      </c>
      <c r="G21">
        <f>AVERAGE(G14:G19)</f>
        <v>376</v>
      </c>
      <c r="H21">
        <f>AVERAGE(H14:H19)</f>
        <v>3.89</v>
      </c>
      <c r="J21">
        <f>AVERAGE(J14:J19)</f>
        <v>1.9827050844276253</v>
      </c>
      <c r="K21">
        <f>AVERAGE(K14:K19)</f>
        <v>2.5377264390644227</v>
      </c>
      <c r="L21">
        <f>AVERAGE(L14:L19)</f>
        <v>0.5554533963216338</v>
      </c>
    </row>
    <row r="22" spans="4:12" ht="12.75">
      <c r="D22" t="s">
        <v>135</v>
      </c>
      <c r="F22">
        <f>STDEV(F14:F19)</f>
        <v>42.54309187948928</v>
      </c>
      <c r="G22">
        <f>STDEV(G14:G19)</f>
        <v>154.99290306333384</v>
      </c>
      <c r="H22">
        <f>STDEV(H14:H19)</f>
        <v>1.7410916116046284</v>
      </c>
      <c r="J22">
        <f>STDEV(J14:J19)</f>
        <v>0.17325470118555253</v>
      </c>
      <c r="K22">
        <f>STDEV(K14:K19)</f>
        <v>0.21045674345119048</v>
      </c>
      <c r="L22">
        <f>STDEV(L14:L19)</f>
        <v>0.18744323419050868</v>
      </c>
    </row>
    <row r="23" spans="4:12" ht="12.75">
      <c r="D23" t="s">
        <v>136</v>
      </c>
      <c r="F23">
        <f>COUNT(F14:F19)</f>
        <v>6</v>
      </c>
      <c r="G23">
        <f>COUNT(G14:G19)</f>
        <v>6</v>
      </c>
      <c r="H23">
        <f>COUNT(H14:H19)</f>
        <v>6</v>
      </c>
      <c r="J23">
        <f>COUNT(J14:J19)</f>
        <v>6</v>
      </c>
      <c r="K23">
        <f>COUNT(K14:K19)</f>
        <v>6</v>
      </c>
      <c r="L23">
        <f>COUNT(L14:L19)</f>
        <v>6</v>
      </c>
    </row>
    <row r="24" spans="4:8" ht="12.75">
      <c r="D24" t="s">
        <v>137</v>
      </c>
      <c r="F24">
        <f>(F22/F23^0.5)</f>
        <v>17.368144530848554</v>
      </c>
      <c r="G24">
        <f>(G22/G23^0.5)</f>
        <v>63.275587709637286</v>
      </c>
      <c r="H24">
        <f>(H22/H23^0.5)</f>
        <v>0.7107976739785618</v>
      </c>
    </row>
    <row r="25" spans="4:8" ht="12.75">
      <c r="D25" t="s">
        <v>138</v>
      </c>
      <c r="F25" s="1">
        <f>F22/F21</f>
        <v>0.4141118612539515</v>
      </c>
      <c r="G25" s="1">
        <f>G22/G21</f>
        <v>0.4122151677216326</v>
      </c>
      <c r="H25" s="1">
        <f>H22/H21</f>
        <v>0.44758139115800216</v>
      </c>
    </row>
  </sheetData>
  <printOptions/>
  <pageMargins left="0.75" right="0.75" top="1" bottom="1" header="0.5" footer="0.5"/>
  <pageSetup orientation="portrait"/>
  <drawing r:id="rId1"/>
</worksheet>
</file>

<file path=xl/worksheets/sheet14.xml><?xml version="1.0" encoding="utf-8"?>
<worksheet xmlns="http://schemas.openxmlformats.org/spreadsheetml/2006/main" xmlns:r="http://schemas.openxmlformats.org/officeDocument/2006/relationships">
  <dimension ref="A1:V27"/>
  <sheetViews>
    <sheetView workbookViewId="0" topLeftCell="A1">
      <selection activeCell="I13" sqref="I13:I20"/>
    </sheetView>
  </sheetViews>
  <sheetFormatPr defaultColWidth="9.140625" defaultRowHeight="12.75"/>
  <cols>
    <col min="1" max="3" width="8.8515625" style="0" customWidth="1"/>
    <col min="4" max="4" width="17.7109375" style="0" customWidth="1"/>
    <col min="5" max="5" width="12.421875" style="0" customWidth="1"/>
    <col min="6" max="6" width="16.7109375" style="0" customWidth="1"/>
    <col min="7" max="13" width="8.8515625" style="0" customWidth="1"/>
    <col min="14" max="14" width="12.00390625" style="0" customWidth="1"/>
    <col min="15" max="16384" width="8.8515625" style="0" customWidth="1"/>
  </cols>
  <sheetData>
    <row r="1" spans="1:21" ht="66.75" customHeight="1">
      <c r="A1" s="7" t="s">
        <v>69</v>
      </c>
      <c r="B1" s="7" t="s">
        <v>57</v>
      </c>
      <c r="C1" s="7" t="s">
        <v>58</v>
      </c>
      <c r="D1" s="7" t="s">
        <v>59</v>
      </c>
      <c r="E1" s="7" t="s">
        <v>60</v>
      </c>
      <c r="F1" s="7" t="s">
        <v>92</v>
      </c>
      <c r="G1" s="7" t="s">
        <v>61</v>
      </c>
      <c r="H1" s="7" t="s">
        <v>62</v>
      </c>
      <c r="I1" s="7" t="s">
        <v>63</v>
      </c>
      <c r="J1" s="8" t="s">
        <v>64</v>
      </c>
      <c r="K1" s="8" t="s">
        <v>138</v>
      </c>
      <c r="L1" s="7" t="s">
        <v>1126</v>
      </c>
      <c r="M1" s="7" t="s">
        <v>1127</v>
      </c>
      <c r="N1" s="7" t="s">
        <v>66</v>
      </c>
      <c r="O1" s="7" t="s">
        <v>85</v>
      </c>
      <c r="P1" s="7" t="s">
        <v>67</v>
      </c>
      <c r="Q1" s="7" t="s">
        <v>68</v>
      </c>
      <c r="R1" s="10"/>
      <c r="S1" s="10"/>
      <c r="T1" s="10"/>
      <c r="U1" s="10"/>
    </row>
    <row r="2" spans="1:16" ht="12.75">
      <c r="A2">
        <v>99</v>
      </c>
      <c r="B2" t="s">
        <v>509</v>
      </c>
      <c r="D2" t="s">
        <v>515</v>
      </c>
      <c r="E2" t="s">
        <v>516</v>
      </c>
      <c r="G2" t="s">
        <v>102</v>
      </c>
      <c r="H2" t="s">
        <v>94</v>
      </c>
      <c r="I2" t="s">
        <v>519</v>
      </c>
      <c r="J2">
        <v>0.2116518572034947</v>
      </c>
      <c r="K2">
        <v>0.5049544264501747</v>
      </c>
      <c r="L2" t="s">
        <v>620</v>
      </c>
      <c r="M2" t="s">
        <v>797</v>
      </c>
      <c r="N2" t="s">
        <v>95</v>
      </c>
      <c r="O2">
        <v>0.9455</v>
      </c>
      <c r="P2">
        <v>8</v>
      </c>
    </row>
    <row r="3" spans="1:16" ht="12.75">
      <c r="A3">
        <v>99</v>
      </c>
      <c r="B3" t="s">
        <v>509</v>
      </c>
      <c r="D3" t="s">
        <v>515</v>
      </c>
      <c r="E3" t="s">
        <v>516</v>
      </c>
      <c r="G3" t="s">
        <v>102</v>
      </c>
      <c r="H3" t="s">
        <v>94</v>
      </c>
      <c r="I3" t="s">
        <v>517</v>
      </c>
      <c r="J3">
        <v>0.46011088468415784</v>
      </c>
      <c r="K3">
        <v>1.0928860200485544</v>
      </c>
      <c r="L3" t="s">
        <v>620</v>
      </c>
      <c r="M3" t="s">
        <v>797</v>
      </c>
      <c r="N3" t="s">
        <v>95</v>
      </c>
      <c r="O3">
        <v>0.9245</v>
      </c>
      <c r="P3">
        <v>8</v>
      </c>
    </row>
    <row r="4" spans="1:16" ht="12.75">
      <c r="A4">
        <v>99</v>
      </c>
      <c r="B4" t="s">
        <v>509</v>
      </c>
      <c r="D4" t="s">
        <v>515</v>
      </c>
      <c r="E4" t="s">
        <v>516</v>
      </c>
      <c r="G4" t="s">
        <v>102</v>
      </c>
      <c r="H4" t="s">
        <v>94</v>
      </c>
      <c r="I4" t="s">
        <v>518</v>
      </c>
      <c r="J4">
        <v>0.44179685980109007</v>
      </c>
      <c r="K4">
        <v>0.7840794961422509</v>
      </c>
      <c r="L4" t="s">
        <v>620</v>
      </c>
      <c r="M4" t="s">
        <v>797</v>
      </c>
      <c r="N4" t="s">
        <v>95</v>
      </c>
      <c r="O4">
        <v>0.932</v>
      </c>
      <c r="P4">
        <v>8</v>
      </c>
    </row>
    <row r="7" ht="12.75">
      <c r="B7" t="s">
        <v>514</v>
      </c>
    </row>
    <row r="11" spans="2:22" ht="13.5" thickBot="1">
      <c r="B11" t="s">
        <v>375</v>
      </c>
      <c r="C11" s="22" t="s">
        <v>177</v>
      </c>
      <c r="D11" s="22" t="s">
        <v>511</v>
      </c>
      <c r="E11" s="22" t="s">
        <v>970</v>
      </c>
      <c r="F11" s="22" t="s">
        <v>1129</v>
      </c>
      <c r="H11" s="22" t="s">
        <v>191</v>
      </c>
      <c r="I11" s="22" t="s">
        <v>188</v>
      </c>
      <c r="J11" s="22" t="s">
        <v>6</v>
      </c>
      <c r="P11" t="s">
        <v>511</v>
      </c>
      <c r="Q11" t="s">
        <v>970</v>
      </c>
      <c r="R11" t="s">
        <v>1129</v>
      </c>
      <c r="T11" t="s">
        <v>191</v>
      </c>
      <c r="U11" t="s">
        <v>188</v>
      </c>
      <c r="V11" t="s">
        <v>6</v>
      </c>
    </row>
    <row r="12" spans="3:18" ht="12.75">
      <c r="C12" s="23"/>
      <c r="D12" s="23" t="s">
        <v>1119</v>
      </c>
      <c r="E12" s="23" t="s">
        <v>512</v>
      </c>
      <c r="F12" s="23" t="s">
        <v>513</v>
      </c>
      <c r="H12" s="23" t="s">
        <v>1119</v>
      </c>
      <c r="I12" s="23" t="s">
        <v>512</v>
      </c>
      <c r="J12" s="23"/>
      <c r="P12" t="s">
        <v>1119</v>
      </c>
      <c r="Q12" t="s">
        <v>512</v>
      </c>
      <c r="R12" t="s">
        <v>513</v>
      </c>
    </row>
    <row r="13" spans="4:14" ht="12.75">
      <c r="D13">
        <v>52.2</v>
      </c>
      <c r="E13">
        <v>0.19</v>
      </c>
      <c r="H13">
        <f>LOG(D13)</f>
        <v>1.717670503002262</v>
      </c>
      <c r="I13">
        <f>LOG(E13)</f>
        <v>-0.721246399047171</v>
      </c>
      <c r="J13">
        <f>LOG(F14)</f>
        <v>-0.958607314841775</v>
      </c>
      <c r="M13" t="s">
        <v>189</v>
      </c>
      <c r="N13" t="s">
        <v>190</v>
      </c>
    </row>
    <row r="14" spans="2:22" ht="12.75">
      <c r="B14">
        <v>1</v>
      </c>
      <c r="C14">
        <v>5</v>
      </c>
      <c r="D14">
        <v>103.6</v>
      </c>
      <c r="E14">
        <v>1.33</v>
      </c>
      <c r="F14">
        <v>0.11</v>
      </c>
      <c r="H14">
        <f aca="true" t="shared" si="0" ref="H14:H20">LOG(D14)</f>
        <v>2.0153597554092144</v>
      </c>
      <c r="I14">
        <f aca="true" t="shared" si="1" ref="I14:I20">LOG(E14)</f>
        <v>0.12385164096708581</v>
      </c>
      <c r="J14">
        <f aca="true" t="shared" si="2" ref="J14:J20">LOG(F15)</f>
        <v>-0.4089353929735008</v>
      </c>
      <c r="L14">
        <v>1</v>
      </c>
      <c r="M14">
        <f>(L14-3/8)/8.25</f>
        <v>0.07575757575757576</v>
      </c>
      <c r="N14">
        <f aca="true" t="shared" si="3" ref="N14:N21">NORMSINV(M14)</f>
        <v>-1.4342004726896267</v>
      </c>
      <c r="P14">
        <v>22.8</v>
      </c>
      <c r="Q14">
        <v>0.19</v>
      </c>
      <c r="R14">
        <v>0.11</v>
      </c>
      <c r="T14">
        <f aca="true" t="shared" si="4" ref="T14:V21">LOG(P14)</f>
        <v>1.3579348470004537</v>
      </c>
      <c r="U14">
        <f t="shared" si="4"/>
        <v>-0.721246399047171</v>
      </c>
      <c r="V14">
        <f t="shared" si="4"/>
        <v>-0.958607314841775</v>
      </c>
    </row>
    <row r="15" spans="2:22" ht="12.75">
      <c r="B15">
        <v>2</v>
      </c>
      <c r="C15">
        <v>7</v>
      </c>
      <c r="D15">
        <v>22.8</v>
      </c>
      <c r="E15">
        <v>1.09</v>
      </c>
      <c r="F15">
        <v>0.39</v>
      </c>
      <c r="H15">
        <f t="shared" si="0"/>
        <v>1.3579348470004537</v>
      </c>
      <c r="I15">
        <f t="shared" si="1"/>
        <v>0.037426497940623665</v>
      </c>
      <c r="J15">
        <f t="shared" si="2"/>
        <v>0.1553360374650618</v>
      </c>
      <c r="L15">
        <v>2</v>
      </c>
      <c r="M15">
        <f aca="true" t="shared" si="5" ref="M15:M21">(L15-3/8)/8.25</f>
        <v>0.19696969696969696</v>
      </c>
      <c r="N15">
        <f t="shared" si="3"/>
        <v>-0.8524948530074397</v>
      </c>
      <c r="P15">
        <v>35.6</v>
      </c>
      <c r="Q15">
        <v>0.64</v>
      </c>
      <c r="R15">
        <v>0.39</v>
      </c>
      <c r="T15">
        <f t="shared" si="4"/>
        <v>1.551449997972875</v>
      </c>
      <c r="U15">
        <f t="shared" si="4"/>
        <v>-0.1938200260161128</v>
      </c>
      <c r="V15">
        <f t="shared" si="4"/>
        <v>-0.4089353929735008</v>
      </c>
    </row>
    <row r="16" spans="2:22" ht="12.75">
      <c r="B16">
        <v>3</v>
      </c>
      <c r="C16">
        <v>12</v>
      </c>
      <c r="D16">
        <v>35.6</v>
      </c>
      <c r="E16">
        <v>0.64</v>
      </c>
      <c r="F16">
        <v>1.43</v>
      </c>
      <c r="H16">
        <f t="shared" si="0"/>
        <v>1.551449997972875</v>
      </c>
      <c r="I16">
        <f t="shared" si="1"/>
        <v>-0.1938200260161128</v>
      </c>
      <c r="J16">
        <f t="shared" si="2"/>
        <v>-0.26760624017703144</v>
      </c>
      <c r="L16">
        <v>3</v>
      </c>
      <c r="M16">
        <f t="shared" si="5"/>
        <v>0.3181818181818182</v>
      </c>
      <c r="N16">
        <f t="shared" si="3"/>
        <v>-0.4727891453901464</v>
      </c>
      <c r="P16">
        <v>40.5</v>
      </c>
      <c r="Q16">
        <v>1.09</v>
      </c>
      <c r="R16">
        <v>0.54</v>
      </c>
      <c r="T16">
        <f t="shared" si="4"/>
        <v>1.6074550232146685</v>
      </c>
      <c r="U16">
        <f t="shared" si="4"/>
        <v>0.037426497940623665</v>
      </c>
      <c r="V16">
        <f t="shared" si="4"/>
        <v>-0.26760624017703144</v>
      </c>
    </row>
    <row r="17" spans="2:22" ht="12.75">
      <c r="B17">
        <v>4</v>
      </c>
      <c r="C17" t="s">
        <v>510</v>
      </c>
      <c r="D17">
        <v>46</v>
      </c>
      <c r="E17">
        <v>1.25</v>
      </c>
      <c r="F17">
        <v>0.54</v>
      </c>
      <c r="H17">
        <f t="shared" si="0"/>
        <v>1.662757831681574</v>
      </c>
      <c r="I17">
        <f t="shared" si="1"/>
        <v>0.09691001300805642</v>
      </c>
      <c r="J17">
        <f t="shared" si="2"/>
        <v>-0.08618614761628333</v>
      </c>
      <c r="L17">
        <v>4</v>
      </c>
      <c r="M17">
        <f t="shared" si="5"/>
        <v>0.4393939393939394</v>
      </c>
      <c r="N17">
        <f t="shared" si="3"/>
        <v>-0.1525059312692605</v>
      </c>
      <c r="P17">
        <v>46</v>
      </c>
      <c r="Q17">
        <v>1.25</v>
      </c>
      <c r="R17">
        <v>0.8</v>
      </c>
      <c r="T17">
        <f t="shared" si="4"/>
        <v>1.662757831681574</v>
      </c>
      <c r="U17">
        <f t="shared" si="4"/>
        <v>0.09691001300805642</v>
      </c>
      <c r="V17">
        <f t="shared" si="4"/>
        <v>-0.09691001300805639</v>
      </c>
    </row>
    <row r="18" spans="2:22" ht="12.75">
      <c r="B18">
        <v>5</v>
      </c>
      <c r="C18">
        <v>13</v>
      </c>
      <c r="D18">
        <v>90</v>
      </c>
      <c r="E18">
        <v>6.9</v>
      </c>
      <c r="F18">
        <v>0.82</v>
      </c>
      <c r="H18">
        <f t="shared" si="0"/>
        <v>1.954242509439325</v>
      </c>
      <c r="I18">
        <f t="shared" si="1"/>
        <v>0.8388490907372553</v>
      </c>
      <c r="J18">
        <f t="shared" si="2"/>
        <v>0.35793484700045375</v>
      </c>
      <c r="L18">
        <v>5</v>
      </c>
      <c r="M18">
        <f t="shared" si="5"/>
        <v>0.5606060606060606</v>
      </c>
      <c r="N18">
        <f t="shared" si="3"/>
        <v>0.15250593126925965</v>
      </c>
      <c r="P18">
        <v>47.5</v>
      </c>
      <c r="Q18">
        <v>1.26</v>
      </c>
      <c r="R18">
        <v>0.82</v>
      </c>
      <c r="T18">
        <f t="shared" si="4"/>
        <v>1.6766936096248666</v>
      </c>
      <c r="U18">
        <f t="shared" si="4"/>
        <v>0.10037054511756291</v>
      </c>
      <c r="V18">
        <f t="shared" si="4"/>
        <v>-0.08618614761628333</v>
      </c>
    </row>
    <row r="19" spans="2:22" ht="12.75">
      <c r="B19">
        <v>6</v>
      </c>
      <c r="C19">
        <v>16</v>
      </c>
      <c r="D19">
        <v>40.5</v>
      </c>
      <c r="E19">
        <v>3.26</v>
      </c>
      <c r="F19">
        <v>2.28</v>
      </c>
      <c r="H19">
        <f t="shared" si="0"/>
        <v>1.6074550232146685</v>
      </c>
      <c r="I19">
        <f t="shared" si="1"/>
        <v>0.5132176000679389</v>
      </c>
      <c r="J19">
        <f t="shared" si="2"/>
        <v>0.3820170425748684</v>
      </c>
      <c r="L19">
        <v>6</v>
      </c>
      <c r="M19">
        <f t="shared" si="5"/>
        <v>0.6818181818181818</v>
      </c>
      <c r="N19">
        <f t="shared" si="3"/>
        <v>0.4727891453901464</v>
      </c>
      <c r="P19">
        <v>52.2</v>
      </c>
      <c r="Q19">
        <v>1.33</v>
      </c>
      <c r="R19">
        <v>1.43</v>
      </c>
      <c r="T19">
        <f t="shared" si="4"/>
        <v>1.717670503002262</v>
      </c>
      <c r="U19">
        <f t="shared" si="4"/>
        <v>0.12385164096708581</v>
      </c>
      <c r="V19">
        <f t="shared" si="4"/>
        <v>0.1553360374650618</v>
      </c>
    </row>
    <row r="20" spans="2:22" ht="12.75">
      <c r="B20">
        <v>7</v>
      </c>
      <c r="C20">
        <v>17</v>
      </c>
      <c r="D20">
        <v>47.5</v>
      </c>
      <c r="E20">
        <v>1.26</v>
      </c>
      <c r="F20">
        <v>2.41</v>
      </c>
      <c r="H20">
        <f t="shared" si="0"/>
        <v>1.6766936096248666</v>
      </c>
      <c r="I20">
        <f t="shared" si="1"/>
        <v>0.10037054511756291</v>
      </c>
      <c r="J20">
        <f t="shared" si="2"/>
        <v>-0.09691001300805639</v>
      </c>
      <c r="L20">
        <v>7</v>
      </c>
      <c r="M20">
        <f t="shared" si="5"/>
        <v>0.803030303030303</v>
      </c>
      <c r="N20">
        <f t="shared" si="3"/>
        <v>0.8524948530074394</v>
      </c>
      <c r="P20">
        <v>90</v>
      </c>
      <c r="Q20">
        <v>3.26</v>
      </c>
      <c r="R20">
        <v>2.28</v>
      </c>
      <c r="T20">
        <f t="shared" si="4"/>
        <v>1.954242509439325</v>
      </c>
      <c r="U20">
        <f t="shared" si="4"/>
        <v>0.5132176000679389</v>
      </c>
      <c r="V20">
        <f t="shared" si="4"/>
        <v>0.35793484700045375</v>
      </c>
    </row>
    <row r="21" spans="2:22" ht="12.75">
      <c r="B21">
        <v>8</v>
      </c>
      <c r="C21">
        <v>18</v>
      </c>
      <c r="F21">
        <v>0.8</v>
      </c>
      <c r="L21">
        <v>8</v>
      </c>
      <c r="M21">
        <f t="shared" si="5"/>
        <v>0.9242424242424242</v>
      </c>
      <c r="N21">
        <f t="shared" si="3"/>
        <v>1.4342004726896262</v>
      </c>
      <c r="P21">
        <v>103.6</v>
      </c>
      <c r="Q21">
        <v>6.9</v>
      </c>
      <c r="R21">
        <v>2.41</v>
      </c>
      <c r="T21">
        <f t="shared" si="4"/>
        <v>2.0153597554092144</v>
      </c>
      <c r="U21">
        <f t="shared" si="4"/>
        <v>0.8388490907372553</v>
      </c>
      <c r="V21">
        <f t="shared" si="4"/>
        <v>0.3820170425748684</v>
      </c>
    </row>
    <row r="22" spans="8:10" ht="12.75">
      <c r="H22">
        <f>AVERAGE(H13:H20)</f>
        <v>1.692945509668155</v>
      </c>
      <c r="I22">
        <f>AVERAGE(I13:I20)</f>
        <v>0.09944487034690491</v>
      </c>
      <c r="J22">
        <f>AVERAGE(J13:J20)</f>
        <v>-0.11536964769703285</v>
      </c>
    </row>
    <row r="23" spans="2:10" ht="12.75">
      <c r="B23" t="s">
        <v>134</v>
      </c>
      <c r="D23">
        <f>AVERAGE(D13:D20)</f>
        <v>54.775000000000006</v>
      </c>
      <c r="E23">
        <f>AVERAGE(E13:E20)</f>
        <v>1.99</v>
      </c>
      <c r="F23">
        <f>AVERAGE(F14:F21)</f>
        <v>1.0975</v>
      </c>
      <c r="H23" s="1">
        <f>STDEV(H13:H20)</f>
        <v>0.2116518572034947</v>
      </c>
      <c r="I23" s="1">
        <f>STDEV(I13:I20)</f>
        <v>0.46011088468415784</v>
      </c>
      <c r="J23" s="1">
        <f>STDEV(J13:J20)</f>
        <v>0.44179685980109007</v>
      </c>
    </row>
    <row r="24" spans="2:10" ht="12.75">
      <c r="B24" t="s">
        <v>135</v>
      </c>
      <c r="D24">
        <f>STDEV(D13:D20)</f>
        <v>27.658878708808327</v>
      </c>
      <c r="E24">
        <f>STDEV(E13:E20)</f>
        <v>2.1748431798966235</v>
      </c>
      <c r="F24">
        <f>STDEV(F14:F21)</f>
        <v>0.8605272470161204</v>
      </c>
      <c r="H24">
        <f>COUNT(H13:H20)</f>
        <v>8</v>
      </c>
      <c r="I24">
        <f>COUNT(I13:I20)</f>
        <v>8</v>
      </c>
      <c r="J24">
        <f>COUNT(J13:J20)</f>
        <v>8</v>
      </c>
    </row>
    <row r="25" spans="2:6" ht="12.75">
      <c r="B25" t="s">
        <v>136</v>
      </c>
      <c r="D25">
        <f>COUNT(D13:D20)</f>
        <v>8</v>
      </c>
      <c r="E25">
        <f>COUNT(E13:E20)</f>
        <v>8</v>
      </c>
      <c r="F25">
        <f>COUNT(F14:F21)</f>
        <v>8</v>
      </c>
    </row>
    <row r="26" spans="2:6" ht="12.75">
      <c r="B26" t="s">
        <v>137</v>
      </c>
      <c r="D26">
        <f>(D24/D25^0.5)</f>
        <v>9.778890347507293</v>
      </c>
      <c r="E26">
        <f>(E24/E25^0.5)</f>
        <v>0.7689231802611084</v>
      </c>
      <c r="F26">
        <f>(F24/F25^0.5)</f>
        <v>0.304242325880445</v>
      </c>
    </row>
    <row r="27" spans="2:6" ht="12.75">
      <c r="B27" t="s">
        <v>138</v>
      </c>
      <c r="D27" s="1">
        <f>D24/D23</f>
        <v>0.5049544264501747</v>
      </c>
      <c r="E27" s="1">
        <f>E24/E23</f>
        <v>1.0928860200485544</v>
      </c>
      <c r="F27" s="1">
        <f>F24/F23</f>
        <v>0.7840794961422509</v>
      </c>
    </row>
  </sheetData>
  <printOptions/>
  <pageMargins left="0.75" right="0.75" top="1" bottom="1" header="0.5" footer="0.5"/>
  <pageSetup orientation="portrait"/>
  <drawing r:id="rId1"/>
</worksheet>
</file>

<file path=xl/worksheets/sheet15.xml><?xml version="1.0" encoding="utf-8"?>
<worksheet xmlns="http://schemas.openxmlformats.org/spreadsheetml/2006/main" xmlns:r="http://schemas.openxmlformats.org/officeDocument/2006/relationships">
  <dimension ref="A1:AA2"/>
  <sheetViews>
    <sheetView workbookViewId="0" topLeftCell="A1">
      <selection activeCell="H2" sqref="H2"/>
    </sheetView>
  </sheetViews>
  <sheetFormatPr defaultColWidth="9.140625" defaultRowHeight="12.75"/>
  <cols>
    <col min="1" max="16384" width="8.8515625" style="0" customWidth="1"/>
  </cols>
  <sheetData>
    <row r="1" spans="1:27" s="72" customFormat="1" ht="49.5" customHeight="1">
      <c r="A1" s="10" t="s">
        <v>413</v>
      </c>
      <c r="B1" s="10" t="s">
        <v>57</v>
      </c>
      <c r="C1" s="10" t="s">
        <v>58</v>
      </c>
      <c r="D1" s="10" t="s">
        <v>414</v>
      </c>
      <c r="E1" s="10" t="s">
        <v>415</v>
      </c>
      <c r="F1" s="14" t="s">
        <v>416</v>
      </c>
      <c r="G1" s="18" t="s">
        <v>417</v>
      </c>
      <c r="H1" s="10" t="s">
        <v>60</v>
      </c>
      <c r="I1" s="10" t="s">
        <v>418</v>
      </c>
      <c r="J1" s="10" t="s">
        <v>92</v>
      </c>
      <c r="K1" s="10" t="s">
        <v>61</v>
      </c>
      <c r="L1" s="10" t="s">
        <v>461</v>
      </c>
      <c r="M1" s="10" t="s">
        <v>62</v>
      </c>
      <c r="N1" s="70" t="s">
        <v>419</v>
      </c>
      <c r="O1" s="10" t="s">
        <v>63</v>
      </c>
      <c r="P1" s="71" t="s">
        <v>420</v>
      </c>
      <c r="Q1" s="71" t="s">
        <v>138</v>
      </c>
      <c r="R1" s="73" t="s">
        <v>421</v>
      </c>
      <c r="S1" s="73" t="s">
        <v>422</v>
      </c>
      <c r="T1" s="10" t="s">
        <v>1126</v>
      </c>
      <c r="U1" s="10" t="s">
        <v>1127</v>
      </c>
      <c r="V1" s="10" t="s">
        <v>66</v>
      </c>
      <c r="W1" s="10" t="s">
        <v>85</v>
      </c>
      <c r="X1" s="10" t="s">
        <v>539</v>
      </c>
      <c r="Y1" s="10" t="s">
        <v>423</v>
      </c>
      <c r="AA1" s="10" t="s">
        <v>424</v>
      </c>
    </row>
    <row r="2" spans="2:7" ht="12.75">
      <c r="B2" t="s">
        <v>448</v>
      </c>
      <c r="G2" t="s">
        <v>449</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W34"/>
  <sheetViews>
    <sheetView workbookViewId="0" topLeftCell="A1">
      <selection activeCell="D8" sqref="D8"/>
    </sheetView>
  </sheetViews>
  <sheetFormatPr defaultColWidth="9.140625" defaultRowHeight="12.75"/>
  <cols>
    <col min="1" max="4" width="8.8515625" style="0" customWidth="1"/>
    <col min="5" max="5" width="13.00390625" style="0" customWidth="1"/>
    <col min="6" max="6" width="12.28125" style="0" customWidth="1"/>
    <col min="7" max="11" width="8.8515625" style="0" customWidth="1"/>
    <col min="12" max="12" width="10.421875" style="0" customWidth="1"/>
    <col min="13" max="13" width="12.00390625" style="0" customWidth="1"/>
    <col min="14" max="14" width="11.7109375" style="0" customWidth="1"/>
    <col min="15" max="16384" width="8.8515625" style="0" customWidth="1"/>
  </cols>
  <sheetData>
    <row r="1" spans="1:21" ht="63.75">
      <c r="A1" s="7" t="s">
        <v>69</v>
      </c>
      <c r="B1" s="7" t="s">
        <v>57</v>
      </c>
      <c r="C1" s="7" t="s">
        <v>58</v>
      </c>
      <c r="D1" s="7" t="s">
        <v>59</v>
      </c>
      <c r="E1" s="7" t="s">
        <v>60</v>
      </c>
      <c r="F1" s="7" t="s">
        <v>92</v>
      </c>
      <c r="G1" s="7" t="s">
        <v>61</v>
      </c>
      <c r="H1" s="7" t="s">
        <v>62</v>
      </c>
      <c r="I1" s="7" t="s">
        <v>63</v>
      </c>
      <c r="J1" s="8" t="s">
        <v>64</v>
      </c>
      <c r="K1" s="8" t="s">
        <v>138</v>
      </c>
      <c r="L1" s="7" t="s">
        <v>1126</v>
      </c>
      <c r="M1" s="7" t="s">
        <v>1127</v>
      </c>
      <c r="N1" s="7" t="s">
        <v>66</v>
      </c>
      <c r="O1" s="7" t="s">
        <v>85</v>
      </c>
      <c r="P1" s="7" t="s">
        <v>67</v>
      </c>
      <c r="Q1" s="7" t="s">
        <v>68</v>
      </c>
      <c r="R1" s="10"/>
      <c r="S1" s="10"/>
      <c r="T1" s="10"/>
      <c r="U1" s="10"/>
    </row>
    <row r="2" spans="2:16" ht="12.75">
      <c r="B2" t="s">
        <v>522</v>
      </c>
      <c r="D2" t="s">
        <v>561</v>
      </c>
      <c r="E2" t="s">
        <v>523</v>
      </c>
      <c r="F2" t="s">
        <v>572</v>
      </c>
      <c r="G2" t="s">
        <v>102</v>
      </c>
      <c r="H2" t="s">
        <v>94</v>
      </c>
      <c r="I2" t="s">
        <v>524</v>
      </c>
      <c r="J2">
        <v>0.17542154567508544</v>
      </c>
      <c r="K2">
        <v>0.39660559002986295</v>
      </c>
      <c r="N2" t="s">
        <v>95</v>
      </c>
      <c r="O2">
        <v>0.9682</v>
      </c>
      <c r="P2">
        <v>20</v>
      </c>
    </row>
    <row r="3" spans="2:16" ht="12.75">
      <c r="B3" t="s">
        <v>522</v>
      </c>
      <c r="D3" t="s">
        <v>561</v>
      </c>
      <c r="E3" t="s">
        <v>523</v>
      </c>
      <c r="F3" t="s">
        <v>572</v>
      </c>
      <c r="G3" t="s">
        <v>102</v>
      </c>
      <c r="H3" t="s">
        <v>94</v>
      </c>
      <c r="I3" t="s">
        <v>525</v>
      </c>
      <c r="J3">
        <v>0.13152307363638638</v>
      </c>
      <c r="K3">
        <v>0.29944666772702944</v>
      </c>
      <c r="N3" t="s">
        <v>95</v>
      </c>
      <c r="O3">
        <v>0.9737</v>
      </c>
      <c r="P3">
        <v>20</v>
      </c>
    </row>
    <row r="4" spans="2:16" ht="12.75">
      <c r="B4" t="s">
        <v>522</v>
      </c>
      <c r="D4" t="s">
        <v>561</v>
      </c>
      <c r="E4" t="s">
        <v>523</v>
      </c>
      <c r="F4" t="s">
        <v>572</v>
      </c>
      <c r="G4" t="s">
        <v>102</v>
      </c>
      <c r="H4" t="s">
        <v>94</v>
      </c>
      <c r="I4" t="s">
        <v>526</v>
      </c>
      <c r="J4">
        <v>0.2498352991639804</v>
      </c>
      <c r="K4">
        <v>0.5052732467309937</v>
      </c>
      <c r="N4" t="s">
        <v>95</v>
      </c>
      <c r="O4">
        <v>0.9573</v>
      </c>
      <c r="P4">
        <v>20</v>
      </c>
    </row>
    <row r="7" ht="12.75">
      <c r="B7" t="s">
        <v>527</v>
      </c>
    </row>
    <row r="8" spans="2:23" ht="12.75">
      <c r="B8" t="s">
        <v>1105</v>
      </c>
      <c r="C8" t="s">
        <v>546</v>
      </c>
      <c r="D8" t="s">
        <v>547</v>
      </c>
      <c r="E8" t="s">
        <v>548</v>
      </c>
      <c r="F8" t="s">
        <v>549</v>
      </c>
      <c r="G8" t="s">
        <v>550</v>
      </c>
      <c r="I8" t="s">
        <v>558</v>
      </c>
      <c r="J8" t="s">
        <v>559</v>
      </c>
      <c r="K8" t="s">
        <v>560</v>
      </c>
      <c r="N8" t="s">
        <v>189</v>
      </c>
      <c r="O8" t="s">
        <v>190</v>
      </c>
      <c r="Q8" t="s">
        <v>548</v>
      </c>
      <c r="R8" t="s">
        <v>549</v>
      </c>
      <c r="S8" t="s">
        <v>550</v>
      </c>
      <c r="U8" t="s">
        <v>558</v>
      </c>
      <c r="V8" t="s">
        <v>559</v>
      </c>
      <c r="W8" t="s">
        <v>560</v>
      </c>
    </row>
    <row r="9" spans="2:23" ht="12.75">
      <c r="B9" t="s">
        <v>528</v>
      </c>
      <c r="C9" s="20">
        <v>0.8571428571428571</v>
      </c>
      <c r="D9">
        <v>700</v>
      </c>
      <c r="E9">
        <v>670</v>
      </c>
      <c r="F9">
        <v>1.64</v>
      </c>
      <c r="G9">
        <v>2.84</v>
      </c>
      <c r="I9">
        <f>LOG(E9)</f>
        <v>2.8260748027008264</v>
      </c>
      <c r="J9">
        <f>LOG(F9)</f>
        <v>0.21484384804769785</v>
      </c>
      <c r="K9">
        <f>LOG(G9)</f>
        <v>0.45331834004703764</v>
      </c>
      <c r="M9">
        <v>1</v>
      </c>
      <c r="N9">
        <f>(M9-3/8)/20.25</f>
        <v>0.030864197530864196</v>
      </c>
      <c r="O9">
        <f aca="true" t="shared" si="0" ref="O9:O28">NORMSINV(N9)</f>
        <v>-1.868240738682386</v>
      </c>
      <c r="Q9">
        <v>263</v>
      </c>
      <c r="R9">
        <v>1.02</v>
      </c>
      <c r="S9">
        <v>0.69</v>
      </c>
      <c r="U9">
        <v>2.419955748489758</v>
      </c>
      <c r="V9">
        <v>0.00860017176191757</v>
      </c>
      <c r="W9">
        <v>-0.16115090926274472</v>
      </c>
    </row>
    <row r="10" spans="2:23" ht="12.75">
      <c r="B10" t="s">
        <v>529</v>
      </c>
      <c r="C10" s="20">
        <v>0.8571428571428571</v>
      </c>
      <c r="D10">
        <v>273</v>
      </c>
      <c r="E10">
        <v>538</v>
      </c>
      <c r="F10">
        <v>1.2</v>
      </c>
      <c r="G10">
        <v>1.39</v>
      </c>
      <c r="I10">
        <f aca="true" t="shared" si="1" ref="I10:I28">LOG(E10)</f>
        <v>2.7307822756663893</v>
      </c>
      <c r="J10">
        <f aca="true" t="shared" si="2" ref="J10:J28">LOG(F10)</f>
        <v>0.07918124604762482</v>
      </c>
      <c r="K10">
        <f aca="true" t="shared" si="3" ref="K10:K28">LOG(G10)</f>
        <v>0.14301480025409505</v>
      </c>
      <c r="M10">
        <v>2</v>
      </c>
      <c r="N10">
        <f aca="true" t="shared" si="4" ref="N10:N28">(M10-3/8)/20.25</f>
        <v>0.08024691358024691</v>
      </c>
      <c r="O10">
        <f t="shared" si="0"/>
        <v>-1.403412980414076</v>
      </c>
      <c r="Q10">
        <v>263</v>
      </c>
      <c r="R10">
        <v>1.14</v>
      </c>
      <c r="S10">
        <v>0.7</v>
      </c>
      <c r="U10">
        <v>2.419955748489758</v>
      </c>
      <c r="V10">
        <v>0.05690485133647256</v>
      </c>
      <c r="W10">
        <v>-0.1549019599857432</v>
      </c>
    </row>
    <row r="11" spans="2:23" ht="12.75">
      <c r="B11" t="s">
        <v>530</v>
      </c>
      <c r="C11" s="16" t="s">
        <v>551</v>
      </c>
      <c r="D11">
        <v>427</v>
      </c>
      <c r="E11">
        <v>928</v>
      </c>
      <c r="F11">
        <v>1.71</v>
      </c>
      <c r="G11">
        <v>1.81</v>
      </c>
      <c r="I11">
        <f t="shared" si="1"/>
        <v>2.967547976218862</v>
      </c>
      <c r="J11">
        <f t="shared" si="2"/>
        <v>0.23299611039215382</v>
      </c>
      <c r="K11">
        <f t="shared" si="3"/>
        <v>0.2576785748691845</v>
      </c>
      <c r="M11">
        <v>3</v>
      </c>
      <c r="N11">
        <f t="shared" si="4"/>
        <v>0.12962962962962962</v>
      </c>
      <c r="O11">
        <f t="shared" si="0"/>
        <v>-1.1281438731534634</v>
      </c>
      <c r="Q11">
        <v>272</v>
      </c>
      <c r="R11">
        <v>1.2</v>
      </c>
      <c r="S11">
        <v>1.17</v>
      </c>
      <c r="U11">
        <v>2.4345689040341987</v>
      </c>
      <c r="V11">
        <v>0.07918124604762482</v>
      </c>
      <c r="W11">
        <v>0.06818586174616162</v>
      </c>
    </row>
    <row r="12" spans="2:23" ht="12.75">
      <c r="B12" t="s">
        <v>531</v>
      </c>
      <c r="C12" s="16" t="s">
        <v>551</v>
      </c>
      <c r="D12">
        <v>695</v>
      </c>
      <c r="E12">
        <v>600</v>
      </c>
      <c r="F12">
        <v>2.35</v>
      </c>
      <c r="G12">
        <v>4.84</v>
      </c>
      <c r="I12">
        <f t="shared" si="1"/>
        <v>2.7781512503836434</v>
      </c>
      <c r="J12">
        <f t="shared" si="2"/>
        <v>0.37106786227173627</v>
      </c>
      <c r="K12">
        <f t="shared" si="3"/>
        <v>0.6848453616444125</v>
      </c>
      <c r="M12">
        <v>4</v>
      </c>
      <c r="N12">
        <f t="shared" si="4"/>
        <v>0.17901234567901234</v>
      </c>
      <c r="O12">
        <f t="shared" si="0"/>
        <v>-0.9191354215450902</v>
      </c>
      <c r="Q12">
        <v>290</v>
      </c>
      <c r="R12">
        <v>1.34</v>
      </c>
      <c r="S12">
        <v>1.27</v>
      </c>
      <c r="U12">
        <v>2.462397997898956</v>
      </c>
      <c r="V12">
        <v>0.12710479836480765</v>
      </c>
      <c r="W12">
        <v>0.10380372095595687</v>
      </c>
    </row>
    <row r="13" spans="2:23" ht="12.75">
      <c r="B13" t="s">
        <v>532</v>
      </c>
      <c r="C13" s="20">
        <v>0.8571428571428571</v>
      </c>
      <c r="D13">
        <v>1438</v>
      </c>
      <c r="E13">
        <v>923</v>
      </c>
      <c r="F13">
        <v>1.79</v>
      </c>
      <c r="G13">
        <v>2.93</v>
      </c>
      <c r="I13">
        <f t="shared" si="1"/>
        <v>2.965201701025912</v>
      </c>
      <c r="J13">
        <f t="shared" si="2"/>
        <v>0.2528530309798932</v>
      </c>
      <c r="K13">
        <f t="shared" si="3"/>
        <v>0.4668676203541095</v>
      </c>
      <c r="M13">
        <v>5</v>
      </c>
      <c r="N13">
        <f t="shared" si="4"/>
        <v>0.22839506172839505</v>
      </c>
      <c r="O13">
        <f t="shared" si="0"/>
        <v>-0.7441425003572018</v>
      </c>
      <c r="Q13">
        <v>337</v>
      </c>
      <c r="R13">
        <v>1.44</v>
      </c>
      <c r="S13">
        <v>1.39</v>
      </c>
      <c r="U13">
        <v>2.5276299008713385</v>
      </c>
      <c r="V13">
        <v>0.15836249209524964</v>
      </c>
      <c r="W13">
        <v>0.14301480025409505</v>
      </c>
    </row>
    <row r="14" spans="2:23" ht="12.75">
      <c r="B14" t="s">
        <v>164</v>
      </c>
      <c r="C14" s="20" t="s">
        <v>552</v>
      </c>
      <c r="D14">
        <v>1013</v>
      </c>
      <c r="E14">
        <v>507</v>
      </c>
      <c r="F14">
        <v>1.56</v>
      </c>
      <c r="G14">
        <v>2.23</v>
      </c>
      <c r="I14">
        <f t="shared" si="1"/>
        <v>2.705007959333336</v>
      </c>
      <c r="J14">
        <f t="shared" si="2"/>
        <v>0.1931245983544616</v>
      </c>
      <c r="K14">
        <f t="shared" si="3"/>
        <v>0.34830486304816066</v>
      </c>
      <c r="M14">
        <v>6</v>
      </c>
      <c r="N14">
        <f t="shared" si="4"/>
        <v>0.2777777777777778</v>
      </c>
      <c r="O14">
        <f t="shared" si="0"/>
        <v>-0.5894556520801435</v>
      </c>
      <c r="Q14">
        <v>370</v>
      </c>
      <c r="R14">
        <v>1.47</v>
      </c>
      <c r="S14">
        <v>1.66</v>
      </c>
      <c r="U14">
        <v>2.568201724066995</v>
      </c>
      <c r="V14">
        <v>0.1673173347481761</v>
      </c>
      <c r="W14">
        <v>0.22010808804005508</v>
      </c>
    </row>
    <row r="15" spans="2:23" ht="12.75">
      <c r="B15" t="s">
        <v>533</v>
      </c>
      <c r="C15" s="20" t="s">
        <v>553</v>
      </c>
      <c r="D15">
        <v>215</v>
      </c>
      <c r="E15">
        <v>290</v>
      </c>
      <c r="F15">
        <v>1.85</v>
      </c>
      <c r="G15">
        <v>1.27</v>
      </c>
      <c r="I15">
        <f t="shared" si="1"/>
        <v>2.462397997898956</v>
      </c>
      <c r="J15">
        <f t="shared" si="2"/>
        <v>0.26717172840301384</v>
      </c>
      <c r="K15">
        <f t="shared" si="3"/>
        <v>0.10380372095595687</v>
      </c>
      <c r="M15">
        <v>7</v>
      </c>
      <c r="N15">
        <f t="shared" si="4"/>
        <v>0.3271604938271605</v>
      </c>
      <c r="O15">
        <f t="shared" si="0"/>
        <v>-0.44776757974978787</v>
      </c>
      <c r="Q15">
        <v>380</v>
      </c>
      <c r="R15">
        <v>1.52</v>
      </c>
      <c r="S15">
        <v>1.81</v>
      </c>
      <c r="U15">
        <v>2.57978359661681</v>
      </c>
      <c r="V15">
        <v>0.18184358794477254</v>
      </c>
      <c r="W15">
        <v>0.2576785748691845</v>
      </c>
    </row>
    <row r="16" spans="2:23" ht="12.75">
      <c r="B16" t="s">
        <v>534</v>
      </c>
      <c r="C16" s="20" t="s">
        <v>554</v>
      </c>
      <c r="D16">
        <v>695</v>
      </c>
      <c r="E16">
        <v>263</v>
      </c>
      <c r="F16">
        <v>1.14</v>
      </c>
      <c r="G16">
        <v>1.17</v>
      </c>
      <c r="I16">
        <f t="shared" si="1"/>
        <v>2.419955748489758</v>
      </c>
      <c r="J16">
        <f t="shared" si="2"/>
        <v>0.05690485133647256</v>
      </c>
      <c r="K16">
        <f t="shared" si="3"/>
        <v>0.06818586174616162</v>
      </c>
      <c r="M16">
        <v>8</v>
      </c>
      <c r="N16">
        <f t="shared" si="4"/>
        <v>0.3765432098765432</v>
      </c>
      <c r="O16">
        <f t="shared" si="0"/>
        <v>-0.31457246373094394</v>
      </c>
      <c r="Q16">
        <v>437</v>
      </c>
      <c r="R16">
        <v>1.56</v>
      </c>
      <c r="S16">
        <v>1.97</v>
      </c>
      <c r="U16">
        <v>2.640481436970422</v>
      </c>
      <c r="V16">
        <v>0.1931245983544616</v>
      </c>
      <c r="W16">
        <v>0.2944662261615929</v>
      </c>
    </row>
    <row r="17" spans="2:23" ht="12.75">
      <c r="B17" t="s">
        <v>535</v>
      </c>
      <c r="C17" s="20" t="s">
        <v>555</v>
      </c>
      <c r="D17">
        <v>1595</v>
      </c>
      <c r="E17">
        <v>813</v>
      </c>
      <c r="F17">
        <v>2.55</v>
      </c>
      <c r="G17">
        <v>3.98</v>
      </c>
      <c r="I17">
        <f t="shared" si="1"/>
        <v>2.910090545594068</v>
      </c>
      <c r="J17">
        <f t="shared" si="2"/>
        <v>0.4065401804339551</v>
      </c>
      <c r="K17">
        <f t="shared" si="3"/>
        <v>0.5998830720736879</v>
      </c>
      <c r="M17">
        <v>9</v>
      </c>
      <c r="N17">
        <f t="shared" si="4"/>
        <v>0.42592592592592593</v>
      </c>
      <c r="O17">
        <f t="shared" si="0"/>
        <v>-0.18675615184438088</v>
      </c>
      <c r="Q17">
        <v>467</v>
      </c>
      <c r="R17">
        <v>1.64</v>
      </c>
      <c r="S17">
        <v>2.01</v>
      </c>
      <c r="U17">
        <v>2.6693168805661123</v>
      </c>
      <c r="V17">
        <v>0.21484384804769785</v>
      </c>
      <c r="W17">
        <v>0.30319605742048883</v>
      </c>
    </row>
    <row r="18" spans="2:23" ht="12.75">
      <c r="B18" t="s">
        <v>536</v>
      </c>
      <c r="C18" s="20" t="s">
        <v>552</v>
      </c>
      <c r="D18">
        <v>630</v>
      </c>
      <c r="E18">
        <v>380</v>
      </c>
      <c r="F18">
        <v>1.78</v>
      </c>
      <c r="G18">
        <v>1.66</v>
      </c>
      <c r="I18">
        <f t="shared" si="1"/>
        <v>2.57978359661681</v>
      </c>
      <c r="J18">
        <f t="shared" si="2"/>
        <v>0.250420002308894</v>
      </c>
      <c r="K18">
        <f t="shared" si="3"/>
        <v>0.22010808804005508</v>
      </c>
      <c r="M18">
        <v>10</v>
      </c>
      <c r="N18">
        <f t="shared" si="4"/>
        <v>0.47530864197530864</v>
      </c>
      <c r="O18">
        <f t="shared" si="0"/>
        <v>-0.061931447326583094</v>
      </c>
      <c r="Q18">
        <v>507</v>
      </c>
      <c r="R18">
        <v>1.71</v>
      </c>
      <c r="S18">
        <v>2.06</v>
      </c>
      <c r="U18">
        <v>2.705007959333336</v>
      </c>
      <c r="V18">
        <v>0.23299611039215382</v>
      </c>
      <c r="W18">
        <v>0.31386722036915343</v>
      </c>
    </row>
    <row r="19" spans="2:23" ht="12.75">
      <c r="B19" t="s">
        <v>537</v>
      </c>
      <c r="C19" s="20" t="s">
        <v>551</v>
      </c>
      <c r="D19">
        <v>470</v>
      </c>
      <c r="E19">
        <v>467</v>
      </c>
      <c r="F19">
        <v>1.52</v>
      </c>
      <c r="G19">
        <v>2.78</v>
      </c>
      <c r="I19">
        <f t="shared" si="1"/>
        <v>2.6693168805661123</v>
      </c>
      <c r="J19">
        <f t="shared" si="2"/>
        <v>0.18184358794477254</v>
      </c>
      <c r="K19">
        <f t="shared" si="3"/>
        <v>0.4440447959180762</v>
      </c>
      <c r="M19">
        <v>11</v>
      </c>
      <c r="N19">
        <f t="shared" si="4"/>
        <v>0.5246913580246914</v>
      </c>
      <c r="O19">
        <f t="shared" si="0"/>
        <v>0.061931447326583094</v>
      </c>
      <c r="Q19">
        <v>520</v>
      </c>
      <c r="R19">
        <v>1.78</v>
      </c>
      <c r="S19">
        <v>2.23</v>
      </c>
      <c r="U19">
        <v>2.716003343634799</v>
      </c>
      <c r="V19">
        <v>0.250420002308894</v>
      </c>
      <c r="W19">
        <v>0.34830486304816066</v>
      </c>
    </row>
    <row r="20" spans="2:23" ht="12.75">
      <c r="B20" t="s">
        <v>538</v>
      </c>
      <c r="C20" s="20" t="s">
        <v>556</v>
      </c>
      <c r="D20">
        <v>73</v>
      </c>
      <c r="E20">
        <v>437</v>
      </c>
      <c r="F20">
        <v>1.02</v>
      </c>
      <c r="G20">
        <v>0.69</v>
      </c>
      <c r="I20">
        <f t="shared" si="1"/>
        <v>2.640481436970422</v>
      </c>
      <c r="J20">
        <f t="shared" si="2"/>
        <v>0.00860017176191757</v>
      </c>
      <c r="K20">
        <f t="shared" si="3"/>
        <v>-0.16115090926274472</v>
      </c>
      <c r="M20">
        <v>12</v>
      </c>
      <c r="N20">
        <f t="shared" si="4"/>
        <v>0.5740740740740741</v>
      </c>
      <c r="O20">
        <f t="shared" si="0"/>
        <v>0.18675615184438088</v>
      </c>
      <c r="Q20">
        <v>538</v>
      </c>
      <c r="R20">
        <v>1.79</v>
      </c>
      <c r="S20">
        <v>2.78</v>
      </c>
      <c r="U20">
        <v>2.7307822756663893</v>
      </c>
      <c r="V20">
        <v>0.2528530309798932</v>
      </c>
      <c r="W20">
        <v>0.4440447959180762</v>
      </c>
    </row>
    <row r="21" spans="2:23" ht="12.75">
      <c r="B21" t="s">
        <v>982</v>
      </c>
      <c r="C21" s="20" t="s">
        <v>551</v>
      </c>
      <c r="D21">
        <v>840</v>
      </c>
      <c r="E21">
        <v>520</v>
      </c>
      <c r="F21">
        <v>1.47</v>
      </c>
      <c r="G21">
        <v>1.97</v>
      </c>
      <c r="I21">
        <f t="shared" si="1"/>
        <v>2.716003343634799</v>
      </c>
      <c r="J21">
        <f t="shared" si="2"/>
        <v>0.1673173347481761</v>
      </c>
      <c r="K21">
        <f t="shared" si="3"/>
        <v>0.2944662261615929</v>
      </c>
      <c r="M21">
        <v>13</v>
      </c>
      <c r="N21">
        <f t="shared" si="4"/>
        <v>0.6234567901234568</v>
      </c>
      <c r="O21">
        <f t="shared" si="0"/>
        <v>0.31457246373094394</v>
      </c>
      <c r="Q21">
        <v>567</v>
      </c>
      <c r="R21">
        <v>1.85</v>
      </c>
      <c r="S21">
        <v>2.84</v>
      </c>
      <c r="U21">
        <v>2.7535830588929064</v>
      </c>
      <c r="V21">
        <v>0.26717172840301384</v>
      </c>
      <c r="W21">
        <v>0.45331834004703764</v>
      </c>
    </row>
    <row r="22" spans="2:23" ht="12.75">
      <c r="B22" t="s">
        <v>539</v>
      </c>
      <c r="C22" s="20" t="s">
        <v>554</v>
      </c>
      <c r="D22">
        <v>605</v>
      </c>
      <c r="E22">
        <v>337</v>
      </c>
      <c r="F22">
        <v>2.15</v>
      </c>
      <c r="G22">
        <v>3.23</v>
      </c>
      <c r="I22">
        <f t="shared" si="1"/>
        <v>2.5276299008713385</v>
      </c>
      <c r="J22">
        <f t="shared" si="2"/>
        <v>0.33243845991560533</v>
      </c>
      <c r="K22">
        <f t="shared" si="3"/>
        <v>0.5092025223311029</v>
      </c>
      <c r="M22">
        <v>14</v>
      </c>
      <c r="N22">
        <f t="shared" si="4"/>
        <v>0.6728395061728395</v>
      </c>
      <c r="O22">
        <f t="shared" si="0"/>
        <v>0.44776757974978765</v>
      </c>
      <c r="Q22">
        <v>600</v>
      </c>
      <c r="R22">
        <v>2.15</v>
      </c>
      <c r="S22">
        <v>2.93</v>
      </c>
      <c r="U22">
        <v>2.7781512503836434</v>
      </c>
      <c r="V22">
        <v>0.33243845991560533</v>
      </c>
      <c r="W22">
        <v>0.4668676203541095</v>
      </c>
    </row>
    <row r="23" spans="2:23" ht="12.75">
      <c r="B23" t="s">
        <v>540</v>
      </c>
      <c r="C23" s="20" t="s">
        <v>551</v>
      </c>
      <c r="D23">
        <v>2115</v>
      </c>
      <c r="E23">
        <v>690</v>
      </c>
      <c r="F23">
        <v>2.86</v>
      </c>
      <c r="G23">
        <v>4.44</v>
      </c>
      <c r="I23">
        <f t="shared" si="1"/>
        <v>2.838849090737255</v>
      </c>
      <c r="J23">
        <f t="shared" si="2"/>
        <v>0.456366033129043</v>
      </c>
      <c r="K23">
        <f t="shared" si="3"/>
        <v>0.6473829701146199</v>
      </c>
      <c r="M23">
        <v>15</v>
      </c>
      <c r="N23">
        <f t="shared" si="4"/>
        <v>0.7222222222222222</v>
      </c>
      <c r="O23">
        <f t="shared" si="0"/>
        <v>0.5894556520801433</v>
      </c>
      <c r="Q23">
        <v>615</v>
      </c>
      <c r="R23">
        <v>2.35</v>
      </c>
      <c r="S23">
        <v>3.23</v>
      </c>
      <c r="U23">
        <v>2.788875115775417</v>
      </c>
      <c r="V23">
        <v>0.37106786227173627</v>
      </c>
      <c r="W23">
        <v>0.5092025223311029</v>
      </c>
    </row>
    <row r="24" spans="2:23" ht="12.75">
      <c r="B24" t="s">
        <v>541</v>
      </c>
      <c r="C24" s="20" t="s">
        <v>554</v>
      </c>
      <c r="D24">
        <v>693</v>
      </c>
      <c r="E24">
        <v>263</v>
      </c>
      <c r="F24">
        <v>1.44</v>
      </c>
      <c r="G24">
        <v>2.06</v>
      </c>
      <c r="I24">
        <f t="shared" si="1"/>
        <v>2.419955748489758</v>
      </c>
      <c r="J24">
        <f t="shared" si="2"/>
        <v>0.15836249209524964</v>
      </c>
      <c r="K24">
        <f t="shared" si="3"/>
        <v>0.31386722036915343</v>
      </c>
      <c r="M24">
        <v>16</v>
      </c>
      <c r="N24">
        <f t="shared" si="4"/>
        <v>0.7716049382716049</v>
      </c>
      <c r="O24">
        <f t="shared" si="0"/>
        <v>0.7441425003572018</v>
      </c>
      <c r="Q24">
        <v>670</v>
      </c>
      <c r="R24">
        <v>2.41</v>
      </c>
      <c r="S24">
        <v>3.76</v>
      </c>
      <c r="U24">
        <v>2.8260748027008264</v>
      </c>
      <c r="V24">
        <v>0.3820170425748684</v>
      </c>
      <c r="W24">
        <v>0.5751878449276611</v>
      </c>
    </row>
    <row r="25" spans="2:23" ht="12.75">
      <c r="B25" t="s">
        <v>542</v>
      </c>
      <c r="C25" s="20" t="s">
        <v>554</v>
      </c>
      <c r="D25">
        <v>487</v>
      </c>
      <c r="E25">
        <v>567</v>
      </c>
      <c r="F25">
        <v>2.41</v>
      </c>
      <c r="G25">
        <v>3.76</v>
      </c>
      <c r="I25">
        <f t="shared" si="1"/>
        <v>2.7535830588929064</v>
      </c>
      <c r="J25">
        <f t="shared" si="2"/>
        <v>0.3820170425748684</v>
      </c>
      <c r="K25">
        <f t="shared" si="3"/>
        <v>0.5751878449276611</v>
      </c>
      <c r="M25">
        <v>17</v>
      </c>
      <c r="N25">
        <f t="shared" si="4"/>
        <v>0.8209876543209876</v>
      </c>
      <c r="O25">
        <f t="shared" si="0"/>
        <v>0.9191354215450898</v>
      </c>
      <c r="Q25">
        <v>690</v>
      </c>
      <c r="R25">
        <v>2.55</v>
      </c>
      <c r="S25">
        <v>3.98</v>
      </c>
      <c r="U25">
        <v>2.838849090737255</v>
      </c>
      <c r="V25">
        <v>0.4065401804339551</v>
      </c>
      <c r="W25">
        <v>0.5998830720736879</v>
      </c>
    </row>
    <row r="26" spans="2:23" ht="12.75">
      <c r="B26" t="s">
        <v>543</v>
      </c>
      <c r="C26" s="20" t="s">
        <v>551</v>
      </c>
      <c r="D26">
        <v>615</v>
      </c>
      <c r="E26">
        <v>272</v>
      </c>
      <c r="F26">
        <v>1.34</v>
      </c>
      <c r="G26">
        <v>2.01</v>
      </c>
      <c r="I26">
        <f t="shared" si="1"/>
        <v>2.4345689040341987</v>
      </c>
      <c r="J26">
        <f t="shared" si="2"/>
        <v>0.12710479836480765</v>
      </c>
      <c r="K26">
        <f t="shared" si="3"/>
        <v>0.30319605742048883</v>
      </c>
      <c r="M26">
        <v>18</v>
      </c>
      <c r="N26">
        <f t="shared" si="4"/>
        <v>0.8703703703703703</v>
      </c>
      <c r="O26">
        <f t="shared" si="0"/>
        <v>1.1281438731534634</v>
      </c>
      <c r="Q26">
        <v>813</v>
      </c>
      <c r="R26">
        <v>2.56</v>
      </c>
      <c r="S26">
        <v>4.39</v>
      </c>
      <c r="U26">
        <v>2.910090545594068</v>
      </c>
      <c r="V26">
        <v>0.4082399653118496</v>
      </c>
      <c r="W26">
        <v>0.6424645202421213</v>
      </c>
    </row>
    <row r="27" spans="2:23" ht="12.75">
      <c r="B27" t="s">
        <v>544</v>
      </c>
      <c r="C27" s="20" t="s">
        <v>556</v>
      </c>
      <c r="D27">
        <v>308</v>
      </c>
      <c r="E27">
        <v>370</v>
      </c>
      <c r="F27">
        <v>2.7</v>
      </c>
      <c r="G27">
        <v>0.7</v>
      </c>
      <c r="I27">
        <f t="shared" si="1"/>
        <v>2.568201724066995</v>
      </c>
      <c r="J27">
        <f t="shared" si="2"/>
        <v>0.43136376415898736</v>
      </c>
      <c r="K27">
        <f t="shared" si="3"/>
        <v>-0.1549019599857432</v>
      </c>
      <c r="M27">
        <v>19</v>
      </c>
      <c r="N27">
        <f t="shared" si="4"/>
        <v>0.9197530864197531</v>
      </c>
      <c r="O27">
        <f t="shared" si="0"/>
        <v>1.4034129804140751</v>
      </c>
      <c r="Q27">
        <v>923</v>
      </c>
      <c r="R27">
        <v>2.7</v>
      </c>
      <c r="S27">
        <v>4.44</v>
      </c>
      <c r="U27">
        <v>2.965201701025912</v>
      </c>
      <c r="V27">
        <v>0.43136376415898736</v>
      </c>
      <c r="W27">
        <v>0.6473829701146199</v>
      </c>
    </row>
    <row r="28" spans="2:23" ht="12.75">
      <c r="B28" t="s">
        <v>545</v>
      </c>
      <c r="C28" s="20" t="s">
        <v>557</v>
      </c>
      <c r="D28">
        <v>2048</v>
      </c>
      <c r="E28">
        <v>615</v>
      </c>
      <c r="F28">
        <v>2.56</v>
      </c>
      <c r="G28">
        <v>4.39</v>
      </c>
      <c r="I28">
        <f t="shared" si="1"/>
        <v>2.788875115775417</v>
      </c>
      <c r="J28">
        <f t="shared" si="2"/>
        <v>0.4082399653118496</v>
      </c>
      <c r="K28">
        <f t="shared" si="3"/>
        <v>0.6424645202421213</v>
      </c>
      <c r="M28">
        <v>20</v>
      </c>
      <c r="N28">
        <f t="shared" si="4"/>
        <v>0.9691358024691358</v>
      </c>
      <c r="O28">
        <f t="shared" si="0"/>
        <v>1.8682407386823847</v>
      </c>
      <c r="Q28">
        <v>928</v>
      </c>
      <c r="R28">
        <v>2.86</v>
      </c>
      <c r="S28">
        <v>4.84</v>
      </c>
      <c r="U28">
        <v>2.967547976218862</v>
      </c>
      <c r="V28">
        <v>0.456366033129043</v>
      </c>
      <c r="W28">
        <v>0.6848453616444125</v>
      </c>
    </row>
    <row r="29" ht="12.75">
      <c r="C29" s="20"/>
    </row>
    <row r="30" spans="2:11" ht="12.75">
      <c r="B30" t="s">
        <v>134</v>
      </c>
      <c r="D30">
        <f>AVERAGE(D9:D28)</f>
        <v>796.75</v>
      </c>
      <c r="E30">
        <f>AVERAGE(E9:E28)</f>
        <v>522.5</v>
      </c>
      <c r="F30">
        <f>AVERAGE(F9:F28)</f>
        <v>1.8520000000000003</v>
      </c>
      <c r="G30">
        <f>AVERAGE(G9:G28)</f>
        <v>2.5075</v>
      </c>
      <c r="I30">
        <f>AVERAGE(I9:I28)</f>
        <v>2.685122952898388</v>
      </c>
      <c r="J30">
        <f>AVERAGE(J9:J28)</f>
        <v>0.24893785542905905</v>
      </c>
      <c r="K30">
        <f>AVERAGE(K9:K28)</f>
        <v>0.3379884795634595</v>
      </c>
    </row>
    <row r="31" spans="2:11" ht="12.75">
      <c r="B31" t="s">
        <v>135</v>
      </c>
      <c r="D31">
        <f>STDEV(D9:D28)</f>
        <v>573.7113592079301</v>
      </c>
      <c r="E31">
        <f>STDEV(E9:E28)</f>
        <v>207.22642079060338</v>
      </c>
      <c r="F31">
        <f>STDEV(F9:F28)</f>
        <v>0.5545752286304586</v>
      </c>
      <c r="G31">
        <f>STDEV(G9:G28)</f>
        <v>1.2669726661779668</v>
      </c>
      <c r="I31" s="1">
        <f>STDEV(I9:I28)</f>
        <v>0.17542154567508544</v>
      </c>
      <c r="J31" s="1">
        <f>STDEV(J9:J28)</f>
        <v>0.13152307363638638</v>
      </c>
      <c r="K31" s="1">
        <f>STDEV(K9:K28)</f>
        <v>0.2498352991639804</v>
      </c>
    </row>
    <row r="32" spans="2:11" ht="12.75">
      <c r="B32" t="s">
        <v>136</v>
      </c>
      <c r="D32">
        <f>COUNT(D9:D28)</f>
        <v>20</v>
      </c>
      <c r="E32">
        <f>COUNT(E9:E28)</f>
        <v>20</v>
      </c>
      <c r="F32">
        <f>COUNT(F9:F28)</f>
        <v>20</v>
      </c>
      <c r="G32">
        <f>COUNT(G9:G28)</f>
        <v>20</v>
      </c>
      <c r="I32">
        <f>COUNT(I9:I28)</f>
        <v>20</v>
      </c>
      <c r="J32">
        <f>COUNT(J9:J28)</f>
        <v>20</v>
      </c>
      <c r="K32">
        <f>COUNT(K9:K28)</f>
        <v>20</v>
      </c>
    </row>
    <row r="33" spans="2:7" ht="12.75">
      <c r="B33" t="s">
        <v>137</v>
      </c>
      <c r="D33">
        <f>(D31/D32^0.5)</f>
        <v>128.28575986527315</v>
      </c>
      <c r="E33">
        <f>(E31/E32^0.5)</f>
        <v>46.33723636217648</v>
      </c>
      <c r="F33">
        <f>(F31/F32^0.5)</f>
        <v>0.1240067909855193</v>
      </c>
      <c r="G33">
        <f>(G31/G32^0.5)</f>
        <v>0.28330370072080824</v>
      </c>
    </row>
    <row r="34" spans="2:7" ht="12.75">
      <c r="B34" t="s">
        <v>138</v>
      </c>
      <c r="D34" s="1">
        <f>D31/D30</f>
        <v>0.7200644608822467</v>
      </c>
      <c r="E34" s="1">
        <f>E31/E30</f>
        <v>0.39660559002986295</v>
      </c>
      <c r="F34" s="1">
        <f>F31/F30</f>
        <v>0.29944666772702944</v>
      </c>
      <c r="G34" s="1">
        <f>G31/G30</f>
        <v>0.5052732467309937</v>
      </c>
    </row>
  </sheetData>
  <printOptions/>
  <pageMargins left="0.75" right="0.75" top="1" bottom="1" header="0.5" footer="0.5"/>
  <pageSetup orientation="portrait" paperSize="9"/>
  <drawing r:id="rId1"/>
</worksheet>
</file>

<file path=xl/worksheets/sheet17.xml><?xml version="1.0" encoding="utf-8"?>
<worksheet xmlns="http://schemas.openxmlformats.org/spreadsheetml/2006/main" xmlns:r="http://schemas.openxmlformats.org/officeDocument/2006/relationships">
  <dimension ref="A1:X90"/>
  <sheetViews>
    <sheetView workbookViewId="0" topLeftCell="F1">
      <selection activeCell="N63" sqref="N63"/>
    </sheetView>
  </sheetViews>
  <sheetFormatPr defaultColWidth="9.140625" defaultRowHeight="12.75"/>
  <cols>
    <col min="1" max="1" width="9.140625" style="10" customWidth="1"/>
    <col min="2" max="2" width="25.421875" style="10" customWidth="1"/>
    <col min="3" max="3" width="9.140625" style="10" customWidth="1"/>
    <col min="4" max="5" width="20.421875" style="10" customWidth="1"/>
    <col min="6" max="6" width="24.28125" style="10" customWidth="1"/>
    <col min="7" max="7" width="15.140625" style="10" customWidth="1"/>
    <col min="8" max="9" width="16.28125" style="10" customWidth="1"/>
    <col min="10" max="10" width="9.140625" style="10" customWidth="1"/>
    <col min="11" max="11" width="12.8515625" style="10" customWidth="1"/>
    <col min="12" max="12" width="25.421875" style="10" customWidth="1"/>
    <col min="13" max="13" width="9.140625" style="10" customWidth="1"/>
    <col min="14" max="14" width="13.28125" style="10" customWidth="1"/>
    <col min="15" max="15" width="13.140625" style="10" customWidth="1"/>
    <col min="16" max="16" width="11.7109375" style="10" customWidth="1"/>
    <col min="17" max="16384" width="9.140625" style="10" customWidth="1"/>
  </cols>
  <sheetData>
    <row r="1" spans="1:20" ht="63.75">
      <c r="A1" s="7" t="s">
        <v>69</v>
      </c>
      <c r="B1" s="7" t="s">
        <v>57</v>
      </c>
      <c r="C1" s="7" t="s">
        <v>58</v>
      </c>
      <c r="D1" s="7" t="s">
        <v>59</v>
      </c>
      <c r="E1" s="7" t="s">
        <v>471</v>
      </c>
      <c r="F1" s="7" t="s">
        <v>60</v>
      </c>
      <c r="G1" s="7" t="s">
        <v>92</v>
      </c>
      <c r="H1" s="7" t="s">
        <v>61</v>
      </c>
      <c r="I1" s="7" t="s">
        <v>461</v>
      </c>
      <c r="J1" s="7" t="s">
        <v>62</v>
      </c>
      <c r="K1" s="7" t="s">
        <v>563</v>
      </c>
      <c r="L1" s="7" t="s">
        <v>63</v>
      </c>
      <c r="M1" s="8" t="s">
        <v>64</v>
      </c>
      <c r="N1" s="8" t="s">
        <v>138</v>
      </c>
      <c r="O1" s="7" t="s">
        <v>1126</v>
      </c>
      <c r="P1" s="7" t="s">
        <v>1127</v>
      </c>
      <c r="Q1" s="7" t="s">
        <v>66</v>
      </c>
      <c r="R1" s="7" t="s">
        <v>85</v>
      </c>
      <c r="S1" s="7" t="s">
        <v>67</v>
      </c>
      <c r="T1" s="7" t="s">
        <v>68</v>
      </c>
    </row>
    <row r="2" spans="1:19" ht="102">
      <c r="A2" s="10">
        <v>52</v>
      </c>
      <c r="B2" s="10" t="s">
        <v>202</v>
      </c>
      <c r="D2" s="10" t="s">
        <v>104</v>
      </c>
      <c r="E2" s="10" t="s">
        <v>472</v>
      </c>
      <c r="F2" s="10" t="s">
        <v>108</v>
      </c>
      <c r="H2" s="10" t="s">
        <v>102</v>
      </c>
      <c r="I2" s="10" t="s">
        <v>457</v>
      </c>
      <c r="J2" s="10" t="s">
        <v>103</v>
      </c>
      <c r="K2" s="10" t="s">
        <v>564</v>
      </c>
      <c r="L2" s="10" t="s">
        <v>105</v>
      </c>
      <c r="M2" s="10">
        <v>0.39499621544410024</v>
      </c>
      <c r="N2" s="10">
        <v>0.6468687548583406</v>
      </c>
      <c r="O2" s="10" t="s">
        <v>106</v>
      </c>
      <c r="Q2" s="10" t="s">
        <v>1123</v>
      </c>
      <c r="R2" s="10">
        <v>0.955</v>
      </c>
      <c r="S2" s="10">
        <v>31</v>
      </c>
    </row>
    <row r="3" spans="1:19" ht="102">
      <c r="A3" s="10">
        <v>52</v>
      </c>
      <c r="B3" s="10" t="s">
        <v>202</v>
      </c>
      <c r="D3" s="10" t="s">
        <v>110</v>
      </c>
      <c r="E3" s="10" t="s">
        <v>473</v>
      </c>
      <c r="F3" s="10" t="s">
        <v>108</v>
      </c>
      <c r="H3" s="10" t="s">
        <v>102</v>
      </c>
      <c r="I3" s="10" t="s">
        <v>457</v>
      </c>
      <c r="J3" s="10" t="s">
        <v>103</v>
      </c>
      <c r="K3" s="10" t="s">
        <v>564</v>
      </c>
      <c r="L3" s="10" t="s">
        <v>1122</v>
      </c>
      <c r="M3" s="10">
        <v>0.33690438127179745</v>
      </c>
      <c r="N3" s="10">
        <v>0.8178033959748078</v>
      </c>
      <c r="O3" s="10" t="s">
        <v>106</v>
      </c>
      <c r="Q3" s="10" t="s">
        <v>95</v>
      </c>
      <c r="R3" s="10">
        <v>0.9925</v>
      </c>
      <c r="S3" s="10">
        <v>31</v>
      </c>
    </row>
    <row r="4" spans="1:19" ht="102">
      <c r="A4" s="10">
        <v>52</v>
      </c>
      <c r="B4" s="10" t="s">
        <v>202</v>
      </c>
      <c r="D4" s="10" t="s">
        <v>111</v>
      </c>
      <c r="E4" s="10" t="s">
        <v>473</v>
      </c>
      <c r="F4" s="10" t="s">
        <v>108</v>
      </c>
      <c r="H4" s="10" t="s">
        <v>570</v>
      </c>
      <c r="I4" s="10" t="s">
        <v>458</v>
      </c>
      <c r="J4" s="10" t="s">
        <v>103</v>
      </c>
      <c r="K4" s="10" t="s">
        <v>564</v>
      </c>
      <c r="L4" s="10" t="s">
        <v>112</v>
      </c>
      <c r="M4" s="10">
        <v>0.16609720980800327</v>
      </c>
      <c r="N4" s="10">
        <v>0.37851116959631065</v>
      </c>
      <c r="O4" s="10" t="s">
        <v>106</v>
      </c>
      <c r="Q4" s="10" t="s">
        <v>95</v>
      </c>
      <c r="R4" s="10">
        <v>0.9655</v>
      </c>
      <c r="S4" s="10">
        <v>20</v>
      </c>
    </row>
    <row r="5" spans="1:19" ht="89.25">
      <c r="A5" s="10">
        <v>1</v>
      </c>
      <c r="B5" s="10" t="s">
        <v>123</v>
      </c>
      <c r="D5" s="10" t="s">
        <v>857</v>
      </c>
      <c r="E5" s="10" t="s">
        <v>472</v>
      </c>
      <c r="F5" s="10" t="s">
        <v>124</v>
      </c>
      <c r="H5" s="10" t="s">
        <v>102</v>
      </c>
      <c r="I5" s="10" t="s">
        <v>457</v>
      </c>
      <c r="J5" s="10" t="s">
        <v>94</v>
      </c>
      <c r="K5" s="10" t="s">
        <v>564</v>
      </c>
      <c r="L5" s="10" t="s">
        <v>113</v>
      </c>
      <c r="M5" s="10">
        <v>0.11972195861579785</v>
      </c>
      <c r="N5" s="10">
        <v>0.2703817721564175</v>
      </c>
      <c r="O5" s="10" t="s">
        <v>1124</v>
      </c>
      <c r="Q5" s="10" t="s">
        <v>95</v>
      </c>
      <c r="R5" s="10">
        <v>0.97</v>
      </c>
      <c r="S5" s="10">
        <v>12</v>
      </c>
    </row>
    <row r="6" spans="1:19" ht="89.25">
      <c r="A6" s="10">
        <v>1</v>
      </c>
      <c r="B6" s="10" t="s">
        <v>123</v>
      </c>
      <c r="D6" s="10" t="s">
        <v>861</v>
      </c>
      <c r="E6" s="10" t="s">
        <v>472</v>
      </c>
      <c r="F6" s="10" t="s">
        <v>124</v>
      </c>
      <c r="H6" s="10" t="s">
        <v>102</v>
      </c>
      <c r="I6" s="10" t="s">
        <v>457</v>
      </c>
      <c r="J6" s="10" t="s">
        <v>94</v>
      </c>
      <c r="K6" s="10" t="s">
        <v>564</v>
      </c>
      <c r="L6" s="10" t="s">
        <v>114</v>
      </c>
      <c r="M6" s="10">
        <v>0.21111493940646014</v>
      </c>
      <c r="N6" s="10">
        <v>0.5045249791095128</v>
      </c>
      <c r="O6" s="10" t="s">
        <v>1124</v>
      </c>
      <c r="Q6" s="10" t="s">
        <v>95</v>
      </c>
      <c r="R6" s="10">
        <v>0.9615</v>
      </c>
      <c r="S6" s="10">
        <v>12</v>
      </c>
    </row>
    <row r="7" spans="1:19" ht="89.25">
      <c r="A7" s="10">
        <v>1</v>
      </c>
      <c r="B7" s="10" t="s">
        <v>123</v>
      </c>
      <c r="D7" s="10" t="s">
        <v>859</v>
      </c>
      <c r="E7" s="10" t="s">
        <v>472</v>
      </c>
      <c r="F7" s="10" t="s">
        <v>124</v>
      </c>
      <c r="H7" s="10" t="s">
        <v>102</v>
      </c>
      <c r="I7" s="10" t="s">
        <v>457</v>
      </c>
      <c r="J7" s="10" t="s">
        <v>94</v>
      </c>
      <c r="K7" s="10" t="s">
        <v>564</v>
      </c>
      <c r="L7" s="10" t="s">
        <v>115</v>
      </c>
      <c r="M7" s="10">
        <v>0.322</v>
      </c>
      <c r="N7" s="10">
        <v>0.48193848164647746</v>
      </c>
      <c r="P7" s="10" t="s">
        <v>1133</v>
      </c>
      <c r="Q7" s="10" t="s">
        <v>95</v>
      </c>
      <c r="R7" s="10">
        <v>0.9404</v>
      </c>
      <c r="S7" s="10">
        <v>12</v>
      </c>
    </row>
    <row r="8" spans="1:19" ht="89.25">
      <c r="A8" s="10">
        <v>1</v>
      </c>
      <c r="B8" s="10" t="s">
        <v>123</v>
      </c>
      <c r="D8" s="10" t="s">
        <v>858</v>
      </c>
      <c r="E8" s="10" t="s">
        <v>472</v>
      </c>
      <c r="F8" s="10" t="s">
        <v>124</v>
      </c>
      <c r="H8" s="10" t="s">
        <v>102</v>
      </c>
      <c r="I8" s="10" t="s">
        <v>457</v>
      </c>
      <c r="J8" s="10" t="s">
        <v>94</v>
      </c>
      <c r="K8" s="10" t="s">
        <v>564</v>
      </c>
      <c r="L8" s="10" t="s">
        <v>116</v>
      </c>
      <c r="M8" s="10">
        <v>0.2008747476738738</v>
      </c>
      <c r="N8" s="10">
        <v>0.4662799642431889</v>
      </c>
      <c r="O8" s="10" t="s">
        <v>1124</v>
      </c>
      <c r="Q8" s="10" t="s">
        <v>95</v>
      </c>
      <c r="R8" s="10">
        <v>0.9665</v>
      </c>
      <c r="S8" s="10">
        <v>12</v>
      </c>
    </row>
    <row r="9" spans="1:19" ht="89.25">
      <c r="A9" s="10">
        <v>1</v>
      </c>
      <c r="B9" s="10" t="s">
        <v>123</v>
      </c>
      <c r="D9" s="10" t="s">
        <v>860</v>
      </c>
      <c r="E9" s="10" t="s">
        <v>472</v>
      </c>
      <c r="F9" s="10" t="s">
        <v>124</v>
      </c>
      <c r="H9" s="10" t="s">
        <v>102</v>
      </c>
      <c r="I9" s="10" t="s">
        <v>457</v>
      </c>
      <c r="J9" s="10" t="s">
        <v>94</v>
      </c>
      <c r="K9" s="10" t="s">
        <v>564</v>
      </c>
      <c r="L9" s="10" t="s">
        <v>117</v>
      </c>
      <c r="M9" s="10">
        <v>0.30520778065464765</v>
      </c>
      <c r="N9" s="10">
        <v>0.4473332381324361</v>
      </c>
      <c r="O9" s="10" t="s">
        <v>1124</v>
      </c>
      <c r="Q9" s="10" t="s">
        <v>107</v>
      </c>
      <c r="R9" s="10">
        <v>0.9671</v>
      </c>
      <c r="S9" s="10">
        <v>12</v>
      </c>
    </row>
    <row r="10" spans="1:19" ht="89.25">
      <c r="A10" s="10">
        <v>1</v>
      </c>
      <c r="B10" s="10" t="s">
        <v>123</v>
      </c>
      <c r="D10" s="10" t="s">
        <v>857</v>
      </c>
      <c r="E10" s="10" t="s">
        <v>472</v>
      </c>
      <c r="F10" s="10" t="s">
        <v>124</v>
      </c>
      <c r="H10" s="10" t="s">
        <v>102</v>
      </c>
      <c r="I10" s="10" t="s">
        <v>457</v>
      </c>
      <c r="J10" s="10" t="s">
        <v>94</v>
      </c>
      <c r="K10" s="10" t="s">
        <v>564</v>
      </c>
      <c r="L10" s="10" t="s">
        <v>118</v>
      </c>
      <c r="M10" s="10">
        <v>0.13397114923318815</v>
      </c>
      <c r="N10" s="10">
        <v>0.31630595085368607</v>
      </c>
      <c r="O10" s="10" t="s">
        <v>1124</v>
      </c>
      <c r="Q10" s="10" t="s">
        <v>95</v>
      </c>
      <c r="R10" s="10">
        <v>0.9169</v>
      </c>
      <c r="S10" s="10">
        <v>12</v>
      </c>
    </row>
    <row r="11" spans="1:19" ht="89.25">
      <c r="A11" s="10">
        <v>1</v>
      </c>
      <c r="B11" s="10" t="s">
        <v>123</v>
      </c>
      <c r="D11" s="10" t="s">
        <v>820</v>
      </c>
      <c r="E11" s="10" t="s">
        <v>472</v>
      </c>
      <c r="F11" s="10" t="s">
        <v>124</v>
      </c>
      <c r="H11" s="10" t="s">
        <v>102</v>
      </c>
      <c r="I11" s="10" t="s">
        <v>457</v>
      </c>
      <c r="J11" s="10" t="s">
        <v>94</v>
      </c>
      <c r="K11" s="10" t="s">
        <v>564</v>
      </c>
      <c r="L11" s="10" t="s">
        <v>119</v>
      </c>
      <c r="M11" s="10">
        <v>0.1800603330631727</v>
      </c>
      <c r="N11" s="10">
        <v>0.44945776268295135</v>
      </c>
      <c r="O11" s="10" t="s">
        <v>1124</v>
      </c>
      <c r="Q11" s="10" t="s">
        <v>95</v>
      </c>
      <c r="R11" s="10">
        <v>0.9298</v>
      </c>
      <c r="S11" s="10">
        <v>12</v>
      </c>
    </row>
    <row r="12" spans="1:19" ht="89.25">
      <c r="A12" s="10">
        <v>1</v>
      </c>
      <c r="B12" s="10" t="s">
        <v>123</v>
      </c>
      <c r="D12" s="10" t="s">
        <v>1114</v>
      </c>
      <c r="E12" s="10" t="s">
        <v>472</v>
      </c>
      <c r="F12" s="10" t="s">
        <v>124</v>
      </c>
      <c r="H12" s="10" t="s">
        <v>102</v>
      </c>
      <c r="I12" s="10" t="s">
        <v>457</v>
      </c>
      <c r="J12" s="10" t="s">
        <v>94</v>
      </c>
      <c r="K12" s="10" t="s">
        <v>564</v>
      </c>
      <c r="L12" s="10" t="s">
        <v>120</v>
      </c>
      <c r="M12" s="10">
        <v>0.18850767298297777</v>
      </c>
      <c r="N12" s="10">
        <v>0.43355189064001304</v>
      </c>
      <c r="O12" s="10" t="s">
        <v>1124</v>
      </c>
      <c r="Q12" s="10" t="s">
        <v>95</v>
      </c>
      <c r="R12" s="10">
        <v>0.983</v>
      </c>
      <c r="S12" s="10">
        <v>12</v>
      </c>
    </row>
    <row r="13" spans="1:19" ht="89.25">
      <c r="A13" s="10"/>
      <c r="B13" s="10" t="s">
        <v>1061</v>
      </c>
      <c r="C13" s="10"/>
      <c r="D13" s="10" t="s">
        <v>1023</v>
      </c>
      <c r="E13" s="10" t="s">
        <v>473</v>
      </c>
      <c r="F13" s="10" t="s">
        <v>966</v>
      </c>
      <c r="G13" s="10"/>
      <c r="H13" s="10" t="s">
        <v>102</v>
      </c>
      <c r="I13" s="10" t="s">
        <v>457</v>
      </c>
      <c r="J13" s="10" t="s">
        <v>94</v>
      </c>
      <c r="K13" s="10" t="s">
        <v>564</v>
      </c>
      <c r="L13" s="10" t="s">
        <v>1022</v>
      </c>
      <c r="M13" s="10">
        <v>0.28361484920656843</v>
      </c>
      <c r="N13" s="14">
        <v>0.4819788033199567</v>
      </c>
      <c r="Q13" s="10" t="s">
        <v>107</v>
      </c>
      <c r="R13" s="10">
        <v>0.9536</v>
      </c>
      <c r="S13" s="10">
        <v>5</v>
      </c>
    </row>
    <row r="14" spans="1:19" ht="140.25">
      <c r="A14" s="10"/>
      <c r="B14" s="17" t="s">
        <v>1058</v>
      </c>
      <c r="C14" s="10"/>
      <c r="D14" s="10" t="s">
        <v>1114</v>
      </c>
      <c r="E14" s="10" t="s">
        <v>472</v>
      </c>
      <c r="F14" s="10" t="s">
        <v>883</v>
      </c>
      <c r="G14" s="10" t="s">
        <v>890</v>
      </c>
      <c r="H14" s="10" t="s">
        <v>885</v>
      </c>
      <c r="I14" s="10" t="s">
        <v>460</v>
      </c>
      <c r="J14" s="10" t="s">
        <v>103</v>
      </c>
      <c r="K14" s="10" t="s">
        <v>971</v>
      </c>
      <c r="L14" s="10" t="s">
        <v>1053</v>
      </c>
      <c r="M14" s="10">
        <v>0.2828402011758679</v>
      </c>
      <c r="N14" s="10">
        <v>0.4591269806272097</v>
      </c>
      <c r="O14" s="10" t="s">
        <v>892</v>
      </c>
      <c r="P14" s="10"/>
      <c r="Q14" s="10" t="s">
        <v>107</v>
      </c>
      <c r="R14" s="10">
        <v>0.8926</v>
      </c>
      <c r="S14" s="10">
        <v>5</v>
      </c>
    </row>
    <row r="15" spans="2:19" ht="12.75">
      <c r="B15" s="12" t="s">
        <v>1058</v>
      </c>
      <c r="D15" t="s">
        <v>1114</v>
      </c>
      <c r="E15" s="10" t="s">
        <v>472</v>
      </c>
      <c r="F15" t="s">
        <v>883</v>
      </c>
      <c r="G15" t="s">
        <v>890</v>
      </c>
      <c r="H15" t="s">
        <v>885</v>
      </c>
      <c r="I15" s="10" t="s">
        <v>460</v>
      </c>
      <c r="J15" t="s">
        <v>103</v>
      </c>
      <c r="K15" s="10" t="s">
        <v>1129</v>
      </c>
      <c r="L15" t="s">
        <v>568</v>
      </c>
      <c r="M15">
        <v>0.2959061938488162</v>
      </c>
      <c r="N15" s="1">
        <v>0.6241601596748839</v>
      </c>
      <c r="O15" t="s">
        <v>892</v>
      </c>
      <c r="Q15" t="s">
        <v>95</v>
      </c>
      <c r="R15">
        <v>0.9774</v>
      </c>
      <c r="S15">
        <v>5</v>
      </c>
    </row>
    <row r="16" spans="1:19" ht="140.25">
      <c r="A16" s="10"/>
      <c r="B16" s="17" t="s">
        <v>1058</v>
      </c>
      <c r="C16" s="10"/>
      <c r="D16" s="10" t="s">
        <v>1114</v>
      </c>
      <c r="E16" s="10" t="s">
        <v>472</v>
      </c>
      <c r="F16" s="10" t="s">
        <v>883</v>
      </c>
      <c r="G16" s="10" t="s">
        <v>890</v>
      </c>
      <c r="H16" s="10" t="s">
        <v>885</v>
      </c>
      <c r="I16" s="10" t="s">
        <v>460</v>
      </c>
      <c r="J16" s="10" t="s">
        <v>103</v>
      </c>
      <c r="K16" s="10" t="s">
        <v>970</v>
      </c>
      <c r="L16" s="10" t="s">
        <v>884</v>
      </c>
      <c r="M16" s="10">
        <v>0.5496900146953541</v>
      </c>
      <c r="N16" s="10">
        <v>0.9260535444604613</v>
      </c>
      <c r="O16" s="10" t="s">
        <v>892</v>
      </c>
      <c r="P16" s="10"/>
      <c r="Q16" s="10" t="s">
        <v>95</v>
      </c>
      <c r="R16" s="10">
        <v>0.9436</v>
      </c>
      <c r="S16" s="10">
        <v>5</v>
      </c>
    </row>
    <row r="17" spans="1:19" ht="140.25">
      <c r="A17" s="10"/>
      <c r="B17" s="17" t="s">
        <v>1058</v>
      </c>
      <c r="C17" s="10"/>
      <c r="D17" s="10" t="s">
        <v>1114</v>
      </c>
      <c r="E17" s="10" t="s">
        <v>472</v>
      </c>
      <c r="F17" s="10" t="s">
        <v>883</v>
      </c>
      <c r="G17" s="10" t="s">
        <v>890</v>
      </c>
      <c r="H17" s="10" t="s">
        <v>891</v>
      </c>
      <c r="I17" s="10" t="s">
        <v>456</v>
      </c>
      <c r="J17" s="10" t="s">
        <v>103</v>
      </c>
      <c r="K17" s="10" t="s">
        <v>970</v>
      </c>
      <c r="L17" s="10" t="s">
        <v>887</v>
      </c>
      <c r="M17" s="14">
        <v>0.534930227344894</v>
      </c>
      <c r="N17" s="14">
        <v>0.8617842576243808</v>
      </c>
      <c r="O17" s="10" t="s">
        <v>892</v>
      </c>
      <c r="P17" s="10"/>
      <c r="Q17" s="18" t="s">
        <v>886</v>
      </c>
      <c r="R17" s="10">
        <v>0.904</v>
      </c>
      <c r="S17" s="10">
        <v>5</v>
      </c>
    </row>
    <row r="18" spans="1:19" ht="140.25">
      <c r="A18" s="10"/>
      <c r="B18" s="17" t="s">
        <v>1058</v>
      </c>
      <c r="C18" s="10"/>
      <c r="D18" s="10" t="s">
        <v>1114</v>
      </c>
      <c r="E18" s="10" t="s">
        <v>472</v>
      </c>
      <c r="F18" s="10" t="s">
        <v>883</v>
      </c>
      <c r="G18" s="10" t="s">
        <v>890</v>
      </c>
      <c r="H18" s="10" t="s">
        <v>891</v>
      </c>
      <c r="I18" s="10" t="s">
        <v>456</v>
      </c>
      <c r="J18" s="10" t="s">
        <v>103</v>
      </c>
      <c r="K18" s="10" t="s">
        <v>1129</v>
      </c>
      <c r="L18" s="10" t="s">
        <v>888</v>
      </c>
      <c r="M18" s="10">
        <v>0.2835649852251182</v>
      </c>
      <c r="N18" s="10">
        <v>0.5713102334582566</v>
      </c>
      <c r="O18" s="10" t="s">
        <v>892</v>
      </c>
      <c r="P18" s="10"/>
      <c r="Q18" s="10" t="s">
        <v>107</v>
      </c>
      <c r="R18" s="10">
        <v>0.9616</v>
      </c>
      <c r="S18" s="10">
        <v>5</v>
      </c>
    </row>
    <row r="19" spans="1:19" ht="89.25">
      <c r="A19" s="10"/>
      <c r="B19" s="10" t="s">
        <v>174</v>
      </c>
      <c r="C19" s="10"/>
      <c r="D19" s="10" t="s">
        <v>474</v>
      </c>
      <c r="E19" s="10" t="s">
        <v>472</v>
      </c>
      <c r="F19" s="10" t="s">
        <v>4</v>
      </c>
      <c r="G19" s="10"/>
      <c r="H19" s="10" t="s">
        <v>102</v>
      </c>
      <c r="I19" s="10" t="s">
        <v>457</v>
      </c>
      <c r="J19" s="10" t="s">
        <v>94</v>
      </c>
      <c r="K19" s="10" t="s">
        <v>971</v>
      </c>
      <c r="L19" s="10" t="s">
        <v>96</v>
      </c>
      <c r="M19" s="10">
        <v>0.15014525847528185</v>
      </c>
      <c r="N19" s="10">
        <v>0.37771720708987405</v>
      </c>
      <c r="O19" s="10" t="s">
        <v>87</v>
      </c>
      <c r="P19" s="10" t="s">
        <v>1128</v>
      </c>
      <c r="Q19" s="10" t="s">
        <v>95</v>
      </c>
      <c r="R19" s="10">
        <v>0.94</v>
      </c>
      <c r="S19" s="10">
        <v>6</v>
      </c>
    </row>
    <row r="20" spans="1:19" ht="89.25">
      <c r="A20" s="10"/>
      <c r="B20" s="10" t="s">
        <v>174</v>
      </c>
      <c r="C20" s="10"/>
      <c r="D20" s="10" t="s">
        <v>474</v>
      </c>
      <c r="E20" s="10" t="s">
        <v>472</v>
      </c>
      <c r="F20" s="10" t="s">
        <v>4</v>
      </c>
      <c r="G20" s="10"/>
      <c r="H20" s="10" t="s">
        <v>102</v>
      </c>
      <c r="I20" s="10" t="s">
        <v>457</v>
      </c>
      <c r="J20" s="10" t="s">
        <v>94</v>
      </c>
      <c r="K20" s="10" t="s">
        <v>970</v>
      </c>
      <c r="L20" s="10" t="s">
        <v>97</v>
      </c>
      <c r="M20" s="10">
        <v>0.2451946739904093</v>
      </c>
      <c r="N20" s="10">
        <v>0.565039466722118</v>
      </c>
      <c r="O20" s="10" t="s">
        <v>87</v>
      </c>
      <c r="P20" s="10" t="s">
        <v>1128</v>
      </c>
      <c r="Q20" s="10" t="s">
        <v>95</v>
      </c>
      <c r="R20" s="10">
        <v>0.91</v>
      </c>
      <c r="S20" s="10">
        <v>6</v>
      </c>
    </row>
    <row r="21" spans="1:20" ht="89.25">
      <c r="A21" s="10"/>
      <c r="B21" s="10" t="s">
        <v>174</v>
      </c>
      <c r="C21" s="10"/>
      <c r="D21" s="10" t="s">
        <v>474</v>
      </c>
      <c r="E21" s="10" t="s">
        <v>472</v>
      </c>
      <c r="F21" s="10" t="s">
        <v>4</v>
      </c>
      <c r="G21" s="10"/>
      <c r="H21" s="10" t="s">
        <v>102</v>
      </c>
      <c r="I21" s="10" t="s">
        <v>457</v>
      </c>
      <c r="J21" s="10" t="s">
        <v>94</v>
      </c>
      <c r="K21" s="10" t="s">
        <v>1129</v>
      </c>
      <c r="L21" s="10" t="s">
        <v>5</v>
      </c>
      <c r="M21" s="19">
        <v>0.25805022612062706</v>
      </c>
      <c r="N21" s="19">
        <v>0.6399698323925269</v>
      </c>
      <c r="O21" s="10" t="s">
        <v>87</v>
      </c>
      <c r="P21" s="10"/>
      <c r="Q21" s="10" t="s">
        <v>7</v>
      </c>
      <c r="R21" s="10">
        <v>0.83</v>
      </c>
      <c r="S21" s="10">
        <v>6</v>
      </c>
      <c r="T21" s="10" t="s">
        <v>1019</v>
      </c>
    </row>
    <row r="22" spans="2:20" ht="12.75">
      <c r="B22" t="s">
        <v>1111</v>
      </c>
      <c r="F22" t="s">
        <v>896</v>
      </c>
      <c r="G22" t="s">
        <v>895</v>
      </c>
      <c r="H22" t="s">
        <v>897</v>
      </c>
      <c r="I22" s="10" t="s">
        <v>459</v>
      </c>
      <c r="J22" t="s">
        <v>103</v>
      </c>
      <c r="K22" s="10" t="s">
        <v>970</v>
      </c>
      <c r="L22" t="s">
        <v>1047</v>
      </c>
      <c r="M22">
        <v>0.2639038932558542</v>
      </c>
      <c r="N22">
        <v>0.7018600723266927</v>
      </c>
      <c r="O22" t="s">
        <v>815</v>
      </c>
      <c r="P22" t="s">
        <v>797</v>
      </c>
      <c r="Q22" t="s">
        <v>1046</v>
      </c>
      <c r="R22">
        <v>0.8992</v>
      </c>
      <c r="S22">
        <v>10</v>
      </c>
      <c r="T22" t="s">
        <v>920</v>
      </c>
    </row>
    <row r="23" spans="2:19" ht="12.75">
      <c r="B23" t="s">
        <v>1111</v>
      </c>
      <c r="F23" t="s">
        <v>896</v>
      </c>
      <c r="G23" t="s">
        <v>895</v>
      </c>
      <c r="H23" t="s">
        <v>897</v>
      </c>
      <c r="I23" s="10" t="s">
        <v>459</v>
      </c>
      <c r="J23" t="s">
        <v>103</v>
      </c>
      <c r="K23" s="10" t="s">
        <v>970</v>
      </c>
      <c r="L23" t="s">
        <v>1048</v>
      </c>
      <c r="M23" s="1">
        <v>0.39511870523732506</v>
      </c>
      <c r="N23">
        <v>1.064386780087067</v>
      </c>
      <c r="O23" t="s">
        <v>815</v>
      </c>
      <c r="P23" t="s">
        <v>797</v>
      </c>
      <c r="Q23" t="s">
        <v>1046</v>
      </c>
      <c r="R23">
        <v>0.8923</v>
      </c>
      <c r="S23">
        <v>10</v>
      </c>
    </row>
    <row r="24" spans="2:19" ht="12.75">
      <c r="B24" t="s">
        <v>1111</v>
      </c>
      <c r="F24" t="s">
        <v>896</v>
      </c>
      <c r="G24" t="s">
        <v>895</v>
      </c>
      <c r="H24" t="s">
        <v>897</v>
      </c>
      <c r="I24" s="10" t="s">
        <v>459</v>
      </c>
      <c r="J24" t="s">
        <v>103</v>
      </c>
      <c r="K24" s="10" t="s">
        <v>1129</v>
      </c>
      <c r="L24" t="s">
        <v>919</v>
      </c>
      <c r="M24">
        <v>0.4956876927035427</v>
      </c>
      <c r="N24">
        <v>1.1835481681237379</v>
      </c>
      <c r="O24" t="s">
        <v>620</v>
      </c>
      <c r="P24" t="s">
        <v>797</v>
      </c>
      <c r="Q24" t="s">
        <v>1046</v>
      </c>
      <c r="R24">
        <v>0.8746</v>
      </c>
      <c r="S24" s="10">
        <v>10</v>
      </c>
    </row>
    <row r="25" spans="2:19" ht="12.75">
      <c r="B25" t="s">
        <v>1111</v>
      </c>
      <c r="F25" t="s">
        <v>896</v>
      </c>
      <c r="G25" t="s">
        <v>895</v>
      </c>
      <c r="H25" t="s">
        <v>897</v>
      </c>
      <c r="I25" s="10" t="s">
        <v>459</v>
      </c>
      <c r="J25" t="s">
        <v>103</v>
      </c>
      <c r="K25" s="10" t="s">
        <v>1129</v>
      </c>
      <c r="L25" t="s">
        <v>921</v>
      </c>
      <c r="M25">
        <v>0.36285053971281683</v>
      </c>
      <c r="N25">
        <v>1.0050588526113153</v>
      </c>
      <c r="O25" t="s">
        <v>620</v>
      </c>
      <c r="P25" t="s">
        <v>797</v>
      </c>
      <c r="Q25" t="s">
        <v>1046</v>
      </c>
      <c r="R25">
        <v>0.9358</v>
      </c>
      <c r="S25" s="10">
        <v>10</v>
      </c>
    </row>
    <row r="26" spans="2:19" ht="76.5">
      <c r="B26" s="10" t="s">
        <v>1107</v>
      </c>
      <c r="D26" s="10" t="s">
        <v>475</v>
      </c>
      <c r="E26" s="10" t="s">
        <v>472</v>
      </c>
      <c r="F26" s="10" t="s">
        <v>986</v>
      </c>
      <c r="G26" s="10" t="s">
        <v>983</v>
      </c>
      <c r="H26" s="10" t="s">
        <v>102</v>
      </c>
      <c r="I26" s="10" t="s">
        <v>457</v>
      </c>
      <c r="J26" s="10" t="s">
        <v>987</v>
      </c>
      <c r="K26" s="10" t="s">
        <v>970</v>
      </c>
      <c r="L26" s="10" t="s">
        <v>923</v>
      </c>
      <c r="M26" s="10">
        <v>0.36545289021243127</v>
      </c>
      <c r="N26" s="10">
        <v>0.7637256160487202</v>
      </c>
      <c r="O26" s="10" t="s">
        <v>949</v>
      </c>
      <c r="Q26" s="10" t="s">
        <v>95</v>
      </c>
      <c r="R26" s="10">
        <v>0.9394</v>
      </c>
      <c r="S26" s="10">
        <v>6</v>
      </c>
    </row>
    <row r="27" spans="2:19" ht="76.5">
      <c r="B27" s="10" t="s">
        <v>1107</v>
      </c>
      <c r="D27" s="10" t="s">
        <v>475</v>
      </c>
      <c r="E27" s="10" t="s">
        <v>472</v>
      </c>
      <c r="F27" s="10" t="s">
        <v>986</v>
      </c>
      <c r="G27" s="10" t="s">
        <v>983</v>
      </c>
      <c r="H27" s="10" t="s">
        <v>102</v>
      </c>
      <c r="I27" s="10" t="s">
        <v>457</v>
      </c>
      <c r="J27" s="10" t="s">
        <v>987</v>
      </c>
      <c r="K27" s="10" t="s">
        <v>971</v>
      </c>
      <c r="L27" s="10" t="s">
        <v>924</v>
      </c>
      <c r="M27" s="10">
        <v>0.28754877386486444</v>
      </c>
      <c r="N27" s="10">
        <v>0.6755603773582125</v>
      </c>
      <c r="O27" s="10" t="s">
        <v>949</v>
      </c>
      <c r="Q27" s="10" t="s">
        <v>95</v>
      </c>
      <c r="R27" s="10">
        <v>0.9817</v>
      </c>
      <c r="S27" s="10">
        <v>6</v>
      </c>
    </row>
    <row r="28" spans="2:19" ht="76.5">
      <c r="B28" s="10" t="s">
        <v>1107</v>
      </c>
      <c r="D28" s="10" t="s">
        <v>475</v>
      </c>
      <c r="E28" s="10" t="s">
        <v>472</v>
      </c>
      <c r="F28" s="10" t="s">
        <v>986</v>
      </c>
      <c r="G28" s="10" t="s">
        <v>983</v>
      </c>
      <c r="H28" s="10" t="s">
        <v>102</v>
      </c>
      <c r="I28" s="10" t="s">
        <v>457</v>
      </c>
      <c r="J28" s="10" t="s">
        <v>987</v>
      </c>
      <c r="K28" s="10" t="s">
        <v>1129</v>
      </c>
      <c r="L28" s="10" t="s">
        <v>925</v>
      </c>
      <c r="M28" s="10">
        <v>0.4170166227578928</v>
      </c>
      <c r="N28" s="10">
        <v>0.9677514812768281</v>
      </c>
      <c r="O28" s="10" t="s">
        <v>949</v>
      </c>
      <c r="Q28" s="10" t="s">
        <v>95</v>
      </c>
      <c r="R28" s="10">
        <v>0.8608</v>
      </c>
      <c r="S28" s="10">
        <v>6</v>
      </c>
    </row>
    <row r="29" spans="1:19" ht="127.5">
      <c r="A29" s="10"/>
      <c r="B29" s="10" t="s">
        <v>451</v>
      </c>
      <c r="C29" s="10"/>
      <c r="D29" s="10" t="s">
        <v>476</v>
      </c>
      <c r="E29" s="10" t="s">
        <v>472</v>
      </c>
      <c r="F29" s="10" t="s">
        <v>933</v>
      </c>
      <c r="G29" s="10" t="s">
        <v>927</v>
      </c>
      <c r="H29" s="10" t="s">
        <v>102</v>
      </c>
      <c r="I29" s="10" t="s">
        <v>457</v>
      </c>
      <c r="J29" s="10" t="s">
        <v>94</v>
      </c>
      <c r="K29" s="10" t="s">
        <v>564</v>
      </c>
      <c r="L29" s="10" t="s">
        <v>569</v>
      </c>
      <c r="M29" s="10">
        <v>0.24485868856207743</v>
      </c>
      <c r="N29" s="10">
        <v>0.526466862756008</v>
      </c>
      <c r="O29" s="10" t="s">
        <v>931</v>
      </c>
      <c r="P29" s="10"/>
      <c r="Q29" s="10" t="s">
        <v>95</v>
      </c>
      <c r="R29" s="10">
        <v>0.9553</v>
      </c>
      <c r="S29" s="10">
        <v>14</v>
      </c>
    </row>
    <row r="30" spans="2:19" ht="102">
      <c r="B30" s="10" t="s">
        <v>452</v>
      </c>
      <c r="D30" s="10" t="s">
        <v>940</v>
      </c>
      <c r="F30" s="10" t="s">
        <v>453</v>
      </c>
      <c r="H30" s="10" t="s">
        <v>454</v>
      </c>
      <c r="I30" s="10" t="s">
        <v>458</v>
      </c>
      <c r="J30" s="10" t="s">
        <v>94</v>
      </c>
      <c r="K30" s="10" t="s">
        <v>564</v>
      </c>
      <c r="L30" s="10" t="s">
        <v>34</v>
      </c>
      <c r="M30" s="10">
        <v>0.16159241939248578</v>
      </c>
      <c r="N30" s="10">
        <v>0.31737667726513685</v>
      </c>
      <c r="O30" s="10" t="s">
        <v>106</v>
      </c>
      <c r="Q30" s="10" t="s">
        <v>107</v>
      </c>
      <c r="R30" s="10">
        <v>0.9741</v>
      </c>
      <c r="S30" s="10">
        <v>21</v>
      </c>
    </row>
    <row r="31" spans="2:19" ht="102">
      <c r="B31" s="10" t="s">
        <v>452</v>
      </c>
      <c r="D31" s="10" t="s">
        <v>939</v>
      </c>
      <c r="F31" s="10" t="s">
        <v>453</v>
      </c>
      <c r="H31" s="10" t="s">
        <v>1088</v>
      </c>
      <c r="I31" s="10" t="s">
        <v>458</v>
      </c>
      <c r="J31" s="10" t="s">
        <v>94</v>
      </c>
      <c r="K31" s="10" t="s">
        <v>564</v>
      </c>
      <c r="L31" s="10" t="s">
        <v>938</v>
      </c>
      <c r="M31" s="10">
        <v>0.4331868505292928</v>
      </c>
      <c r="N31" s="10">
        <v>0.841146311885548</v>
      </c>
      <c r="O31" s="10" t="s">
        <v>106</v>
      </c>
      <c r="Q31" s="10" t="s">
        <v>95</v>
      </c>
      <c r="R31" s="10">
        <v>0.9494</v>
      </c>
      <c r="S31" s="10">
        <v>11</v>
      </c>
    </row>
    <row r="32" spans="2:19" ht="114.75">
      <c r="B32" s="10" t="s">
        <v>1054</v>
      </c>
      <c r="D32" s="10" t="s">
        <v>857</v>
      </c>
      <c r="E32" s="10" t="s">
        <v>472</v>
      </c>
      <c r="F32" s="10" t="s">
        <v>941</v>
      </c>
      <c r="G32" s="10" t="s">
        <v>1068</v>
      </c>
      <c r="H32" s="10" t="s">
        <v>102</v>
      </c>
      <c r="I32" s="10" t="s">
        <v>457</v>
      </c>
      <c r="J32" s="10" t="s">
        <v>94</v>
      </c>
      <c r="K32" s="10" t="s">
        <v>970</v>
      </c>
      <c r="L32" s="10" t="s">
        <v>1065</v>
      </c>
      <c r="M32" s="10">
        <v>0.1598448328589221</v>
      </c>
      <c r="N32" s="10">
        <v>0.332740563676516</v>
      </c>
      <c r="O32" s="10" t="s">
        <v>931</v>
      </c>
      <c r="Q32" s="10" t="s">
        <v>1069</v>
      </c>
      <c r="R32" s="10">
        <v>0.9405</v>
      </c>
      <c r="S32" s="10">
        <v>35</v>
      </c>
    </row>
    <row r="33" spans="2:20" ht="114.75">
      <c r="B33" s="10" t="s">
        <v>1054</v>
      </c>
      <c r="D33" s="10" t="s">
        <v>857</v>
      </c>
      <c r="E33" s="10" t="s">
        <v>472</v>
      </c>
      <c r="F33" s="10" t="s">
        <v>941</v>
      </c>
      <c r="G33" s="10" t="s">
        <v>1068</v>
      </c>
      <c r="H33" s="10" t="s">
        <v>102</v>
      </c>
      <c r="I33" s="10" t="s">
        <v>457</v>
      </c>
      <c r="J33" s="10" t="s">
        <v>94</v>
      </c>
      <c r="K33" s="10" t="s">
        <v>970</v>
      </c>
      <c r="L33" s="10" t="s">
        <v>1065</v>
      </c>
      <c r="M33" s="10">
        <v>0.17800587942852877</v>
      </c>
      <c r="N33" s="10">
        <v>0.3281082406690957</v>
      </c>
      <c r="O33" s="10" t="s">
        <v>931</v>
      </c>
      <c r="Q33" s="10" t="s">
        <v>1069</v>
      </c>
      <c r="R33" s="10">
        <v>0.974</v>
      </c>
      <c r="S33" s="10">
        <v>15</v>
      </c>
      <c r="T33" s="10" t="s">
        <v>455</v>
      </c>
    </row>
    <row r="34" spans="2:19" ht="114.75">
      <c r="B34" s="10" t="s">
        <v>1054</v>
      </c>
      <c r="D34" s="10" t="s">
        <v>860</v>
      </c>
      <c r="E34" s="10" t="s">
        <v>472</v>
      </c>
      <c r="F34" s="10" t="s">
        <v>942</v>
      </c>
      <c r="G34" s="10" t="s">
        <v>1068</v>
      </c>
      <c r="H34" s="10" t="s">
        <v>102</v>
      </c>
      <c r="I34" s="10" t="s">
        <v>457</v>
      </c>
      <c r="J34" s="10" t="s">
        <v>94</v>
      </c>
      <c r="K34" s="10" t="s">
        <v>970</v>
      </c>
      <c r="L34" s="10" t="s">
        <v>944</v>
      </c>
      <c r="M34" s="10">
        <v>0.17099906863545225</v>
      </c>
      <c r="N34" s="10">
        <v>0.33055626484313205</v>
      </c>
      <c r="O34" s="10" t="s">
        <v>931</v>
      </c>
      <c r="Q34" s="10" t="s">
        <v>1069</v>
      </c>
      <c r="R34" s="10">
        <v>0.977</v>
      </c>
      <c r="S34" s="10">
        <v>42</v>
      </c>
    </row>
    <row r="35" spans="2:20" ht="212.25" customHeight="1">
      <c r="B35" s="10" t="s">
        <v>1054</v>
      </c>
      <c r="D35" s="10" t="s">
        <v>1114</v>
      </c>
      <c r="E35" s="10" t="s">
        <v>472</v>
      </c>
      <c r="F35" s="10" t="s">
        <v>941</v>
      </c>
      <c r="G35" s="10" t="s">
        <v>1068</v>
      </c>
      <c r="H35" s="10" t="s">
        <v>102</v>
      </c>
      <c r="I35" s="10" t="s">
        <v>457</v>
      </c>
      <c r="J35" s="10" t="s">
        <v>94</v>
      </c>
      <c r="K35" s="10" t="s">
        <v>970</v>
      </c>
      <c r="L35" s="10" t="s">
        <v>955</v>
      </c>
      <c r="M35" s="10">
        <v>0.22166929341441977</v>
      </c>
      <c r="N35" s="10">
        <v>0.562796923654943</v>
      </c>
      <c r="O35" s="10" t="s">
        <v>931</v>
      </c>
      <c r="Q35" s="10" t="s">
        <v>95</v>
      </c>
      <c r="R35" s="10">
        <v>0.9773</v>
      </c>
      <c r="S35" s="10">
        <v>34</v>
      </c>
      <c r="T35" s="10" t="s">
        <v>943</v>
      </c>
    </row>
    <row r="36" spans="2:19" ht="102">
      <c r="B36" s="10" t="s">
        <v>1057</v>
      </c>
      <c r="D36" s="10" t="s">
        <v>1023</v>
      </c>
      <c r="E36" s="10" t="s">
        <v>473</v>
      </c>
      <c r="F36" s="10" t="s">
        <v>997</v>
      </c>
      <c r="H36" s="10" t="s">
        <v>102</v>
      </c>
      <c r="I36" s="10" t="s">
        <v>457</v>
      </c>
      <c r="K36" s="10" t="s">
        <v>564</v>
      </c>
      <c r="L36" s="10" t="s">
        <v>996</v>
      </c>
      <c r="M36" s="10">
        <v>0.380955049040805</v>
      </c>
      <c r="N36" s="10">
        <v>1.2159111368378193</v>
      </c>
      <c r="O36" s="10" t="s">
        <v>931</v>
      </c>
      <c r="Q36" s="10" t="s">
        <v>947</v>
      </c>
      <c r="R36" s="10">
        <v>0.654</v>
      </c>
      <c r="S36" s="10">
        <v>5</v>
      </c>
    </row>
    <row r="37" spans="2:19" ht="102">
      <c r="B37" s="10" t="s">
        <v>1057</v>
      </c>
      <c r="D37" s="10" t="s">
        <v>1023</v>
      </c>
      <c r="E37" s="10" t="s">
        <v>473</v>
      </c>
      <c r="F37" s="10" t="s">
        <v>997</v>
      </c>
      <c r="H37" s="10" t="s">
        <v>102</v>
      </c>
      <c r="I37" s="10" t="s">
        <v>457</v>
      </c>
      <c r="K37" s="10" t="s">
        <v>564</v>
      </c>
      <c r="L37" s="10" t="s">
        <v>996</v>
      </c>
      <c r="M37" s="10">
        <v>0.21313218943141038</v>
      </c>
      <c r="N37" s="10">
        <v>0.406863120735502</v>
      </c>
      <c r="O37" s="10" t="s">
        <v>931</v>
      </c>
      <c r="Q37" s="10" t="s">
        <v>107</v>
      </c>
      <c r="R37" s="10">
        <v>0.9527</v>
      </c>
      <c r="S37" s="10">
        <v>5</v>
      </c>
    </row>
    <row r="38" spans="2:19" ht="114.75">
      <c r="B38" s="10" t="s">
        <v>1108</v>
      </c>
      <c r="F38" s="10" t="s">
        <v>813</v>
      </c>
      <c r="G38" s="10" t="s">
        <v>806</v>
      </c>
      <c r="H38" s="10" t="s">
        <v>570</v>
      </c>
      <c r="I38" s="10" t="s">
        <v>458</v>
      </c>
      <c r="J38" s="10" t="s">
        <v>94</v>
      </c>
      <c r="K38" s="10" t="s">
        <v>564</v>
      </c>
      <c r="L38" s="10" t="s">
        <v>807</v>
      </c>
      <c r="M38" s="10">
        <v>0.22490555754446648</v>
      </c>
      <c r="N38" s="10">
        <v>0.4741933192916818</v>
      </c>
      <c r="O38" s="10" t="s">
        <v>812</v>
      </c>
      <c r="Q38" s="10" t="s">
        <v>811</v>
      </c>
      <c r="R38" s="10">
        <v>0.9212</v>
      </c>
      <c r="S38" s="10">
        <v>6</v>
      </c>
    </row>
    <row r="39" spans="2:19" ht="114.75">
      <c r="B39" s="10" t="s">
        <v>1108</v>
      </c>
      <c r="F39" s="10" t="s">
        <v>814</v>
      </c>
      <c r="G39" s="10" t="s">
        <v>806</v>
      </c>
      <c r="H39" s="10" t="s">
        <v>570</v>
      </c>
      <c r="I39" s="10" t="s">
        <v>458</v>
      </c>
      <c r="J39" s="10" t="s">
        <v>94</v>
      </c>
      <c r="K39" s="10" t="s">
        <v>564</v>
      </c>
      <c r="L39" s="10" t="s">
        <v>808</v>
      </c>
      <c r="M39" s="10">
        <v>0.21722772823200567</v>
      </c>
      <c r="N39" s="10">
        <v>0.5527089872028199</v>
      </c>
      <c r="O39" s="10" t="s">
        <v>812</v>
      </c>
      <c r="Q39" s="10" t="s">
        <v>95</v>
      </c>
      <c r="R39" s="10">
        <v>0.9121</v>
      </c>
      <c r="S39" s="10">
        <v>6</v>
      </c>
    </row>
    <row r="40" spans="2:20" ht="122.25" customHeight="1">
      <c r="B40" s="10" t="s">
        <v>1072</v>
      </c>
      <c r="D40" s="10" t="s">
        <v>820</v>
      </c>
      <c r="E40" s="10" t="s">
        <v>472</v>
      </c>
      <c r="F40" s="10" t="s">
        <v>819</v>
      </c>
      <c r="H40" s="10" t="s">
        <v>102</v>
      </c>
      <c r="I40" s="10" t="s">
        <v>457</v>
      </c>
      <c r="J40" s="10" t="s">
        <v>94</v>
      </c>
      <c r="K40" s="10" t="s">
        <v>564</v>
      </c>
      <c r="L40" s="10" t="s">
        <v>44</v>
      </c>
      <c r="M40" s="10">
        <v>0.23082075758706694</v>
      </c>
      <c r="N40" s="10">
        <v>0.689534700372755</v>
      </c>
      <c r="O40" s="10" t="s">
        <v>815</v>
      </c>
      <c r="Q40" s="10" t="s">
        <v>95</v>
      </c>
      <c r="R40" s="10">
        <v>0.8658</v>
      </c>
      <c r="S40" s="10">
        <v>10</v>
      </c>
      <c r="T40" s="10" t="s">
        <v>818</v>
      </c>
    </row>
    <row r="41" spans="2:19" ht="153">
      <c r="B41" s="17" t="s">
        <v>1109</v>
      </c>
      <c r="D41" s="10" t="s">
        <v>477</v>
      </c>
      <c r="E41" s="10" t="s">
        <v>472</v>
      </c>
      <c r="F41" s="10" t="s">
        <v>1084</v>
      </c>
      <c r="H41" s="10" t="s">
        <v>102</v>
      </c>
      <c r="I41" s="10" t="s">
        <v>457</v>
      </c>
      <c r="J41" s="10" t="s">
        <v>94</v>
      </c>
      <c r="K41" s="10" t="s">
        <v>564</v>
      </c>
      <c r="L41" s="10" t="s">
        <v>37</v>
      </c>
      <c r="M41" s="14">
        <v>0.32010249133955565</v>
      </c>
      <c r="N41" s="10">
        <v>0.737357852555823</v>
      </c>
      <c r="O41" s="10" t="s">
        <v>827</v>
      </c>
      <c r="Q41" s="10" t="s">
        <v>86</v>
      </c>
      <c r="R41" s="10">
        <v>0.9646</v>
      </c>
      <c r="S41" s="10">
        <v>11</v>
      </c>
    </row>
    <row r="42" spans="2:19" ht="153">
      <c r="B42" s="17" t="s">
        <v>1109</v>
      </c>
      <c r="D42" s="10" t="s">
        <v>477</v>
      </c>
      <c r="E42" s="10" t="s">
        <v>472</v>
      </c>
      <c r="F42" s="10" t="s">
        <v>1084</v>
      </c>
      <c r="H42" s="10" t="s">
        <v>102</v>
      </c>
      <c r="I42" s="10" t="s">
        <v>457</v>
      </c>
      <c r="J42" s="10" t="s">
        <v>94</v>
      </c>
      <c r="K42" s="10" t="s">
        <v>564</v>
      </c>
      <c r="L42" s="10" t="s">
        <v>41</v>
      </c>
      <c r="M42" s="14">
        <v>0.30655782139093446</v>
      </c>
      <c r="N42" s="10">
        <v>0.6660318455085299</v>
      </c>
      <c r="O42" s="10" t="s">
        <v>827</v>
      </c>
      <c r="Q42" s="10" t="s">
        <v>95</v>
      </c>
      <c r="R42" s="10">
        <v>0.968</v>
      </c>
      <c r="S42" s="10">
        <v>11</v>
      </c>
    </row>
    <row r="43" spans="2:19" ht="140.25">
      <c r="B43" s="17" t="s">
        <v>1055</v>
      </c>
      <c r="D43" s="10" t="s">
        <v>841</v>
      </c>
      <c r="E43" s="10" t="s">
        <v>472</v>
      </c>
      <c r="F43" s="10" t="s">
        <v>856</v>
      </c>
      <c r="H43" s="10" t="s">
        <v>102</v>
      </c>
      <c r="I43" s="10" t="s">
        <v>457</v>
      </c>
      <c r="J43" s="10" t="s">
        <v>94</v>
      </c>
      <c r="K43" s="10" t="s">
        <v>970</v>
      </c>
      <c r="L43" s="10" t="s">
        <v>850</v>
      </c>
      <c r="M43" s="10">
        <v>1.069676873278055</v>
      </c>
      <c r="N43" s="10">
        <v>0.6850170174398632</v>
      </c>
      <c r="O43" s="10" t="s">
        <v>87</v>
      </c>
      <c r="Q43" s="10" t="s">
        <v>862</v>
      </c>
      <c r="R43" s="10">
        <v>0.9665</v>
      </c>
      <c r="S43" s="10">
        <v>20</v>
      </c>
    </row>
    <row r="44" spans="2:19" ht="140.25">
      <c r="B44" s="17" t="s">
        <v>1055</v>
      </c>
      <c r="D44" s="10" t="s">
        <v>841</v>
      </c>
      <c r="E44" s="10" t="s">
        <v>472</v>
      </c>
      <c r="F44" s="10" t="s">
        <v>856</v>
      </c>
      <c r="H44" s="10" t="s">
        <v>102</v>
      </c>
      <c r="I44" s="10" t="s">
        <v>457</v>
      </c>
      <c r="J44" s="10" t="s">
        <v>94</v>
      </c>
      <c r="K44" s="10" t="s">
        <v>971</v>
      </c>
      <c r="L44" s="10" t="s">
        <v>851</v>
      </c>
      <c r="M44" s="10">
        <v>0.09254650016411742</v>
      </c>
      <c r="N44" s="10">
        <v>0.2185115177030926</v>
      </c>
      <c r="O44" s="10" t="s">
        <v>87</v>
      </c>
      <c r="Q44" s="10" t="s">
        <v>95</v>
      </c>
      <c r="R44" s="10">
        <v>0.9822</v>
      </c>
      <c r="S44" s="10">
        <v>7</v>
      </c>
    </row>
    <row r="45" spans="2:19" ht="140.25">
      <c r="B45" s="17" t="s">
        <v>1055</v>
      </c>
      <c r="D45" s="10" t="s">
        <v>841</v>
      </c>
      <c r="E45" s="10" t="s">
        <v>472</v>
      </c>
      <c r="F45" s="10" t="s">
        <v>856</v>
      </c>
      <c r="H45" s="10" t="s">
        <v>102</v>
      </c>
      <c r="I45" s="10" t="s">
        <v>457</v>
      </c>
      <c r="J45" s="10" t="s">
        <v>94</v>
      </c>
      <c r="K45" s="10" t="s">
        <v>1129</v>
      </c>
      <c r="L45" s="10" t="s">
        <v>852</v>
      </c>
      <c r="M45" s="10">
        <v>0.5677498789803554</v>
      </c>
      <c r="N45" s="10">
        <v>1.4427990148786045</v>
      </c>
      <c r="O45" s="10" t="s">
        <v>87</v>
      </c>
      <c r="Q45" s="10" t="s">
        <v>95</v>
      </c>
      <c r="R45" s="10">
        <v>0.9356</v>
      </c>
      <c r="S45" s="10">
        <v>7</v>
      </c>
    </row>
    <row r="46" spans="2:19" ht="25.5">
      <c r="B46" t="s">
        <v>1056</v>
      </c>
      <c r="D46" t="s">
        <v>747</v>
      </c>
      <c r="E46" s="10" t="s">
        <v>472</v>
      </c>
      <c r="F46" t="s">
        <v>746</v>
      </c>
      <c r="H46" t="s">
        <v>102</v>
      </c>
      <c r="I46" s="10" t="s">
        <v>457</v>
      </c>
      <c r="J46" t="s">
        <v>94</v>
      </c>
      <c r="K46" s="10" t="s">
        <v>564</v>
      </c>
      <c r="L46" t="s">
        <v>744</v>
      </c>
      <c r="M46">
        <v>0.6133689606063948</v>
      </c>
      <c r="N46" s="1">
        <v>0.9780752880932441</v>
      </c>
      <c r="O46" t="s">
        <v>745</v>
      </c>
      <c r="Q46" t="s">
        <v>743</v>
      </c>
      <c r="R46">
        <v>0.92</v>
      </c>
      <c r="S46" s="10">
        <v>10</v>
      </c>
    </row>
    <row r="47" spans="2:19" ht="25.5">
      <c r="B47" t="s">
        <v>1059</v>
      </c>
      <c r="D47" t="s">
        <v>751</v>
      </c>
      <c r="E47" s="10" t="s">
        <v>472</v>
      </c>
      <c r="F47" t="s">
        <v>752</v>
      </c>
      <c r="G47" t="s">
        <v>753</v>
      </c>
      <c r="H47" t="s">
        <v>102</v>
      </c>
      <c r="I47" s="10" t="s">
        <v>457</v>
      </c>
      <c r="J47" t="s">
        <v>987</v>
      </c>
      <c r="K47" s="10" t="s">
        <v>564</v>
      </c>
      <c r="L47" t="s">
        <v>754</v>
      </c>
      <c r="M47">
        <v>0.18329829910120357</v>
      </c>
      <c r="N47">
        <v>0.3659478402443733</v>
      </c>
      <c r="Q47" t="s">
        <v>811</v>
      </c>
      <c r="R47">
        <v>0.966</v>
      </c>
      <c r="S47">
        <v>29</v>
      </c>
    </row>
    <row r="48" spans="1:19" ht="89.25">
      <c r="A48" s="10">
        <v>339</v>
      </c>
      <c r="B48" s="10" t="s">
        <v>759</v>
      </c>
      <c r="D48" s="10" t="s">
        <v>761</v>
      </c>
      <c r="E48" s="10" t="s">
        <v>472</v>
      </c>
      <c r="F48" s="10" t="s">
        <v>760</v>
      </c>
      <c r="H48" s="10" t="s">
        <v>102</v>
      </c>
      <c r="I48" s="10" t="s">
        <v>457</v>
      </c>
      <c r="K48" s="10" t="s">
        <v>971</v>
      </c>
      <c r="L48" s="10" t="s">
        <v>770</v>
      </c>
      <c r="M48" s="10">
        <v>0.18474816281414688</v>
      </c>
      <c r="N48" s="10">
        <v>0.46753045807994137</v>
      </c>
      <c r="O48" s="10" t="s">
        <v>87</v>
      </c>
      <c r="P48" s="10" t="s">
        <v>1128</v>
      </c>
      <c r="Q48" s="10" t="s">
        <v>86</v>
      </c>
      <c r="R48" s="10">
        <v>0.8861</v>
      </c>
      <c r="S48" s="10">
        <v>5</v>
      </c>
    </row>
    <row r="49" spans="1:19" ht="25.5">
      <c r="A49">
        <v>339</v>
      </c>
      <c r="B49" t="s">
        <v>724</v>
      </c>
      <c r="D49" t="s">
        <v>761</v>
      </c>
      <c r="E49" s="10" t="s">
        <v>472</v>
      </c>
      <c r="F49" t="s">
        <v>760</v>
      </c>
      <c r="H49" s="10" t="s">
        <v>102</v>
      </c>
      <c r="I49" s="10" t="s">
        <v>457</v>
      </c>
      <c r="K49" s="10" t="s">
        <v>971</v>
      </c>
      <c r="L49" t="s">
        <v>770</v>
      </c>
      <c r="M49">
        <v>0.18474816281414688</v>
      </c>
      <c r="N49">
        <v>0.46753045807994137</v>
      </c>
      <c r="O49" t="s">
        <v>87</v>
      </c>
      <c r="P49" t="s">
        <v>1128</v>
      </c>
      <c r="Q49" t="s">
        <v>86</v>
      </c>
      <c r="R49">
        <v>0.8861</v>
      </c>
      <c r="S49">
        <v>5</v>
      </c>
    </row>
    <row r="50" spans="1:19" ht="25.5">
      <c r="A50">
        <v>339</v>
      </c>
      <c r="B50" t="s">
        <v>724</v>
      </c>
      <c r="D50" t="s">
        <v>761</v>
      </c>
      <c r="E50" s="10" t="s">
        <v>472</v>
      </c>
      <c r="F50" t="s">
        <v>760</v>
      </c>
      <c r="H50" s="10" t="s">
        <v>102</v>
      </c>
      <c r="I50" s="10" t="s">
        <v>457</v>
      </c>
      <c r="K50" s="10" t="s">
        <v>970</v>
      </c>
      <c r="L50" t="s">
        <v>771</v>
      </c>
      <c r="M50">
        <v>0.36967689842730084</v>
      </c>
      <c r="N50">
        <v>0.8730695179241738</v>
      </c>
      <c r="O50" t="s">
        <v>87</v>
      </c>
      <c r="P50" t="s">
        <v>1128</v>
      </c>
      <c r="Q50" t="s">
        <v>86</v>
      </c>
      <c r="R50">
        <v>0.846</v>
      </c>
      <c r="S50">
        <v>5</v>
      </c>
    </row>
    <row r="51" spans="1:19" ht="25.5">
      <c r="A51">
        <v>339</v>
      </c>
      <c r="B51" t="s">
        <v>724</v>
      </c>
      <c r="D51" t="s">
        <v>761</v>
      </c>
      <c r="E51" s="10" t="s">
        <v>472</v>
      </c>
      <c r="F51" t="s">
        <v>760</v>
      </c>
      <c r="H51" s="10" t="s">
        <v>102</v>
      </c>
      <c r="I51" s="10" t="s">
        <v>457</v>
      </c>
      <c r="K51" s="10" t="s">
        <v>1129</v>
      </c>
      <c r="L51" t="s">
        <v>772</v>
      </c>
      <c r="M51">
        <v>0.43865139156172744</v>
      </c>
      <c r="N51">
        <v>1.1220430414566396</v>
      </c>
      <c r="O51" t="s">
        <v>87</v>
      </c>
      <c r="P51" t="s">
        <v>1128</v>
      </c>
      <c r="Q51" t="s">
        <v>86</v>
      </c>
      <c r="R51">
        <v>0.9396</v>
      </c>
      <c r="S51">
        <v>5</v>
      </c>
    </row>
    <row r="52" spans="2:19" ht="25.5">
      <c r="B52" t="s">
        <v>684</v>
      </c>
      <c r="D52" t="s">
        <v>778</v>
      </c>
      <c r="E52" s="10" t="s">
        <v>472</v>
      </c>
      <c r="F52" t="s">
        <v>798</v>
      </c>
      <c r="G52" t="s">
        <v>799</v>
      </c>
      <c r="H52" t="s">
        <v>102</v>
      </c>
      <c r="I52" s="10" t="s">
        <v>457</v>
      </c>
      <c r="J52" t="s">
        <v>94</v>
      </c>
      <c r="K52" s="10" t="s">
        <v>564</v>
      </c>
      <c r="L52" t="s">
        <v>787</v>
      </c>
      <c r="M52">
        <v>0.17385694760446999</v>
      </c>
      <c r="N52">
        <v>0.41400214291329474</v>
      </c>
      <c r="O52" t="s">
        <v>892</v>
      </c>
      <c r="P52" t="s">
        <v>797</v>
      </c>
      <c r="Q52" t="s">
        <v>95</v>
      </c>
      <c r="R52">
        <v>0.9586</v>
      </c>
      <c r="S52">
        <v>14</v>
      </c>
    </row>
    <row r="53" spans="2:19" ht="25.5">
      <c r="B53" t="s">
        <v>684</v>
      </c>
      <c r="D53" t="s">
        <v>778</v>
      </c>
      <c r="E53" s="10" t="s">
        <v>472</v>
      </c>
      <c r="F53" t="s">
        <v>798</v>
      </c>
      <c r="G53" t="s">
        <v>799</v>
      </c>
      <c r="H53" t="s">
        <v>102</v>
      </c>
      <c r="I53" s="10" t="s">
        <v>457</v>
      </c>
      <c r="J53" t="s">
        <v>94</v>
      </c>
      <c r="K53" s="10" t="s">
        <v>564</v>
      </c>
      <c r="L53" t="s">
        <v>788</v>
      </c>
      <c r="M53">
        <v>0.1256177193339598</v>
      </c>
      <c r="N53">
        <v>0.313590447419955</v>
      </c>
      <c r="O53" t="s">
        <v>892</v>
      </c>
      <c r="P53" t="s">
        <v>797</v>
      </c>
      <c r="Q53" t="s">
        <v>95</v>
      </c>
      <c r="R53">
        <v>0.9397</v>
      </c>
      <c r="S53">
        <v>14</v>
      </c>
    </row>
    <row r="54" spans="2:19" ht="25.5">
      <c r="B54" t="s">
        <v>684</v>
      </c>
      <c r="D54" t="s">
        <v>782</v>
      </c>
      <c r="E54" s="10" t="s">
        <v>472</v>
      </c>
      <c r="F54" t="s">
        <v>798</v>
      </c>
      <c r="G54" t="s">
        <v>799</v>
      </c>
      <c r="H54" t="s">
        <v>102</v>
      </c>
      <c r="I54" s="10" t="s">
        <v>457</v>
      </c>
      <c r="J54" t="s">
        <v>94</v>
      </c>
      <c r="K54" s="10" t="s">
        <v>564</v>
      </c>
      <c r="L54" t="s">
        <v>789</v>
      </c>
      <c r="M54">
        <v>0.39356733471597183</v>
      </c>
      <c r="N54">
        <v>0.4106078196354016</v>
      </c>
      <c r="O54" t="s">
        <v>892</v>
      </c>
      <c r="P54" t="s">
        <v>797</v>
      </c>
      <c r="Q54" t="s">
        <v>107</v>
      </c>
      <c r="R54">
        <v>0.8907</v>
      </c>
      <c r="S54">
        <v>14</v>
      </c>
    </row>
    <row r="55" spans="2:19" ht="25.5">
      <c r="B55" t="s">
        <v>723</v>
      </c>
      <c r="D55" t="s">
        <v>714</v>
      </c>
      <c r="F55" t="s">
        <v>720</v>
      </c>
      <c r="G55" t="s">
        <v>719</v>
      </c>
      <c r="H55" t="s">
        <v>102</v>
      </c>
      <c r="I55" s="10" t="s">
        <v>457</v>
      </c>
      <c r="J55" t="s">
        <v>94</v>
      </c>
      <c r="K55" s="10" t="s">
        <v>971</v>
      </c>
      <c r="L55" t="s">
        <v>715</v>
      </c>
      <c r="M55">
        <v>0.1554536764167053</v>
      </c>
      <c r="N55">
        <v>0.3585626607142523</v>
      </c>
      <c r="O55" t="s">
        <v>87</v>
      </c>
      <c r="P55" t="s">
        <v>797</v>
      </c>
      <c r="Q55" t="s">
        <v>107</v>
      </c>
      <c r="R55">
        <v>0.945</v>
      </c>
      <c r="S55">
        <v>6</v>
      </c>
    </row>
    <row r="56" spans="2:19" ht="25.5">
      <c r="B56" t="s">
        <v>723</v>
      </c>
      <c r="D56" t="s">
        <v>714</v>
      </c>
      <c r="F56" t="s">
        <v>721</v>
      </c>
      <c r="G56" t="s">
        <v>719</v>
      </c>
      <c r="H56" t="s">
        <v>102</v>
      </c>
      <c r="I56" s="10" t="s">
        <v>457</v>
      </c>
      <c r="J56" t="s">
        <v>94</v>
      </c>
      <c r="K56" s="10" t="s">
        <v>970</v>
      </c>
      <c r="L56" t="s">
        <v>716</v>
      </c>
      <c r="M56">
        <v>0.26689227947346156</v>
      </c>
      <c r="N56">
        <v>0.454147553114624</v>
      </c>
      <c r="O56" t="s">
        <v>87</v>
      </c>
      <c r="P56" t="s">
        <v>797</v>
      </c>
      <c r="Q56" t="s">
        <v>713</v>
      </c>
      <c r="R56">
        <v>0.88</v>
      </c>
      <c r="S56">
        <v>6</v>
      </c>
    </row>
    <row r="57" spans="2:19" ht="25.5">
      <c r="B57" t="s">
        <v>723</v>
      </c>
      <c r="D57" t="s">
        <v>714</v>
      </c>
      <c r="F57" t="s">
        <v>722</v>
      </c>
      <c r="G57" t="s">
        <v>719</v>
      </c>
      <c r="H57" t="s">
        <v>102</v>
      </c>
      <c r="I57" s="10" t="s">
        <v>457</v>
      </c>
      <c r="J57" t="s">
        <v>94</v>
      </c>
      <c r="K57" s="10" t="s">
        <v>1129</v>
      </c>
      <c r="L57" t="s">
        <v>717</v>
      </c>
      <c r="M57" s="1">
        <v>0.2146578881162673</v>
      </c>
      <c r="N57">
        <v>0.5964998854714791</v>
      </c>
      <c r="O57" t="s">
        <v>87</v>
      </c>
      <c r="P57" t="s">
        <v>797</v>
      </c>
      <c r="Q57" t="s">
        <v>95</v>
      </c>
      <c r="R57">
        <v>0.89</v>
      </c>
      <c r="S57">
        <v>6</v>
      </c>
    </row>
    <row r="58" spans="2:19" ht="25.5">
      <c r="B58" t="s">
        <v>725</v>
      </c>
      <c r="D58" t="s">
        <v>726</v>
      </c>
      <c r="E58" t="s">
        <v>472</v>
      </c>
      <c r="F58" t="s">
        <v>727</v>
      </c>
      <c r="H58" t="s">
        <v>102</v>
      </c>
      <c r="I58" s="10" t="s">
        <v>457</v>
      </c>
      <c r="K58" s="10" t="s">
        <v>564</v>
      </c>
      <c r="L58" t="s">
        <v>562</v>
      </c>
      <c r="M58">
        <v>0.3791967641517786</v>
      </c>
      <c r="N58">
        <v>0.7047278168117416</v>
      </c>
      <c r="O58" t="s">
        <v>87</v>
      </c>
      <c r="P58" t="s">
        <v>797</v>
      </c>
      <c r="Q58" t="s">
        <v>95</v>
      </c>
      <c r="R58">
        <v>0.908</v>
      </c>
      <c r="S58">
        <v>13</v>
      </c>
    </row>
    <row r="59" spans="2:19" ht="25.5">
      <c r="B59" t="s">
        <v>664</v>
      </c>
      <c r="D59" t="s">
        <v>675</v>
      </c>
      <c r="E59" t="s">
        <v>472</v>
      </c>
      <c r="F59" t="s">
        <v>677</v>
      </c>
      <c r="H59" t="s">
        <v>676</v>
      </c>
      <c r="I59" s="10" t="s">
        <v>457</v>
      </c>
      <c r="K59" s="10" t="s">
        <v>971</v>
      </c>
      <c r="L59" t="s">
        <v>669</v>
      </c>
      <c r="M59">
        <v>0.3234080662944296</v>
      </c>
      <c r="N59">
        <v>0.6454663916949027</v>
      </c>
      <c r="O59" t="s">
        <v>87</v>
      </c>
      <c r="P59" t="s">
        <v>797</v>
      </c>
      <c r="Q59" t="s">
        <v>796</v>
      </c>
      <c r="R59">
        <v>0.8607</v>
      </c>
      <c r="S59">
        <v>6</v>
      </c>
    </row>
    <row r="60" spans="2:19" ht="25.5">
      <c r="B60" t="s">
        <v>664</v>
      </c>
      <c r="D60" t="s">
        <v>675</v>
      </c>
      <c r="E60" t="s">
        <v>472</v>
      </c>
      <c r="F60" t="s">
        <v>677</v>
      </c>
      <c r="H60" t="s">
        <v>676</v>
      </c>
      <c r="I60" s="10" t="s">
        <v>457</v>
      </c>
      <c r="K60" s="10" t="s">
        <v>970</v>
      </c>
      <c r="L60" t="s">
        <v>670</v>
      </c>
      <c r="M60">
        <v>0.2859420197002022</v>
      </c>
      <c r="N60">
        <v>0.5181559271431514</v>
      </c>
      <c r="O60" t="s">
        <v>87</v>
      </c>
      <c r="P60" t="s">
        <v>797</v>
      </c>
      <c r="Q60" t="s">
        <v>605</v>
      </c>
      <c r="R60">
        <v>0.9744</v>
      </c>
      <c r="S60">
        <v>6</v>
      </c>
    </row>
    <row r="61" spans="2:19" ht="25.5">
      <c r="B61" t="s">
        <v>664</v>
      </c>
      <c r="D61" t="s">
        <v>675</v>
      </c>
      <c r="E61" t="s">
        <v>472</v>
      </c>
      <c r="F61" t="s">
        <v>677</v>
      </c>
      <c r="H61" t="s">
        <v>676</v>
      </c>
      <c r="I61" s="10" t="s">
        <v>457</v>
      </c>
      <c r="K61" s="10" t="s">
        <v>1129</v>
      </c>
      <c r="L61" t="s">
        <v>671</v>
      </c>
      <c r="M61" s="1">
        <v>0.15508439489780182</v>
      </c>
      <c r="N61">
        <v>0.39335296949905396</v>
      </c>
      <c r="O61" t="s">
        <v>87</v>
      </c>
      <c r="P61" t="s">
        <v>797</v>
      </c>
      <c r="Q61" t="s">
        <v>604</v>
      </c>
      <c r="R61">
        <v>0.85</v>
      </c>
      <c r="S61">
        <v>6</v>
      </c>
    </row>
    <row r="62" spans="2:19" ht="25.5">
      <c r="B62" t="s">
        <v>664</v>
      </c>
      <c r="D62" t="s">
        <v>675</v>
      </c>
      <c r="E62" t="s">
        <v>472</v>
      </c>
      <c r="F62" t="s">
        <v>677</v>
      </c>
      <c r="H62" t="s">
        <v>676</v>
      </c>
      <c r="I62" s="10" t="s">
        <v>457</v>
      </c>
      <c r="K62" s="10" t="s">
        <v>971</v>
      </c>
      <c r="L62" t="s">
        <v>672</v>
      </c>
      <c r="M62">
        <v>0.2544086275234387</v>
      </c>
      <c r="N62">
        <v>0.2544086275234387</v>
      </c>
      <c r="O62" t="s">
        <v>87</v>
      </c>
      <c r="P62" t="s">
        <v>797</v>
      </c>
      <c r="Q62" t="s">
        <v>606</v>
      </c>
      <c r="R62">
        <v>0.9824</v>
      </c>
      <c r="S62">
        <v>6</v>
      </c>
    </row>
    <row r="63" spans="2:19" ht="25.5">
      <c r="B63" t="s">
        <v>664</v>
      </c>
      <c r="D63" t="s">
        <v>675</v>
      </c>
      <c r="E63" t="s">
        <v>472</v>
      </c>
      <c r="F63" t="s">
        <v>677</v>
      </c>
      <c r="H63" t="s">
        <v>676</v>
      </c>
      <c r="I63" s="10" t="s">
        <v>457</v>
      </c>
      <c r="K63" s="10" t="s">
        <v>970</v>
      </c>
      <c r="L63" t="s">
        <v>673</v>
      </c>
      <c r="M63">
        <v>0.27219193368100136</v>
      </c>
      <c r="N63" s="1">
        <v>0.7893358538796452</v>
      </c>
      <c r="O63" t="s">
        <v>87</v>
      </c>
      <c r="P63" t="s">
        <v>797</v>
      </c>
      <c r="Q63" t="s">
        <v>604</v>
      </c>
      <c r="R63">
        <v>0.8667</v>
      </c>
      <c r="S63">
        <v>6</v>
      </c>
    </row>
    <row r="64" spans="2:19" ht="25.5">
      <c r="B64" t="s">
        <v>664</v>
      </c>
      <c r="D64" t="s">
        <v>675</v>
      </c>
      <c r="E64" t="s">
        <v>472</v>
      </c>
      <c r="F64" t="s">
        <v>677</v>
      </c>
      <c r="H64" t="s">
        <v>676</v>
      </c>
      <c r="I64" s="10" t="s">
        <v>457</v>
      </c>
      <c r="K64" s="10" t="s">
        <v>1129</v>
      </c>
      <c r="L64" t="s">
        <v>674</v>
      </c>
      <c r="M64" s="1">
        <v>0.11668679780411766</v>
      </c>
      <c r="N64" s="1">
        <v>0.7591401524012327</v>
      </c>
      <c r="O64" t="s">
        <v>87</v>
      </c>
      <c r="P64" t="s">
        <v>797</v>
      </c>
      <c r="Q64" t="s">
        <v>95</v>
      </c>
      <c r="R64">
        <v>0.889</v>
      </c>
      <c r="S64">
        <v>6</v>
      </c>
    </row>
    <row r="65" spans="1:19" ht="25.5">
      <c r="A65">
        <v>267</v>
      </c>
      <c r="B65" t="s">
        <v>680</v>
      </c>
      <c r="D65" t="s">
        <v>1114</v>
      </c>
      <c r="E65" t="s">
        <v>472</v>
      </c>
      <c r="F65" t="s">
        <v>681</v>
      </c>
      <c r="H65" t="s">
        <v>102</v>
      </c>
      <c r="I65" s="10" t="s">
        <v>457</v>
      </c>
      <c r="J65" t="s">
        <v>103</v>
      </c>
      <c r="K65" s="10" t="s">
        <v>564</v>
      </c>
      <c r="L65" t="s">
        <v>678</v>
      </c>
      <c r="M65">
        <v>0.45492801105328384</v>
      </c>
      <c r="N65" s="1">
        <v>1.0019674205838018</v>
      </c>
      <c r="O65" t="s">
        <v>87</v>
      </c>
      <c r="P65" t="s">
        <v>797</v>
      </c>
      <c r="Q65" t="s">
        <v>95</v>
      </c>
      <c r="R65">
        <v>0.9623</v>
      </c>
      <c r="S65">
        <v>5</v>
      </c>
    </row>
    <row r="66" spans="1:19" ht="25.5">
      <c r="A66">
        <v>267</v>
      </c>
      <c r="B66" t="s">
        <v>680</v>
      </c>
      <c r="D66" t="s">
        <v>1114</v>
      </c>
      <c r="E66" t="s">
        <v>472</v>
      </c>
      <c r="F66" t="s">
        <v>681</v>
      </c>
      <c r="H66" t="s">
        <v>102</v>
      </c>
      <c r="I66" s="10" t="s">
        <v>457</v>
      </c>
      <c r="J66" t="s">
        <v>103</v>
      </c>
      <c r="K66" s="10" t="s">
        <v>564</v>
      </c>
      <c r="L66" t="s">
        <v>679</v>
      </c>
      <c r="M66">
        <v>0.3000022651775823</v>
      </c>
      <c r="N66" s="1">
        <v>0.8351831321318284</v>
      </c>
      <c r="O66" t="s">
        <v>87</v>
      </c>
      <c r="P66" t="s">
        <v>797</v>
      </c>
      <c r="Q66" t="s">
        <v>95</v>
      </c>
      <c r="R66">
        <v>0.848</v>
      </c>
      <c r="S66">
        <v>5</v>
      </c>
    </row>
    <row r="67" spans="1:19" ht="25.5">
      <c r="A67">
        <v>188</v>
      </c>
      <c r="B67" s="12" t="s">
        <v>683</v>
      </c>
      <c r="D67" t="s">
        <v>857</v>
      </c>
      <c r="E67" t="s">
        <v>472</v>
      </c>
      <c r="F67" t="s">
        <v>571</v>
      </c>
      <c r="G67" t="s">
        <v>572</v>
      </c>
      <c r="H67" t="s">
        <v>102</v>
      </c>
      <c r="I67" s="10" t="s">
        <v>457</v>
      </c>
      <c r="J67" t="s">
        <v>94</v>
      </c>
      <c r="K67" s="10" t="s">
        <v>971</v>
      </c>
      <c r="L67" t="s">
        <v>579</v>
      </c>
      <c r="M67">
        <v>0.6194677363504927</v>
      </c>
      <c r="N67">
        <v>1.8633397333409452</v>
      </c>
      <c r="O67" t="s">
        <v>87</v>
      </c>
      <c r="P67" t="s">
        <v>1128</v>
      </c>
      <c r="Q67" t="s">
        <v>7</v>
      </c>
      <c r="R67">
        <v>0.8403</v>
      </c>
      <c r="S67">
        <v>6</v>
      </c>
    </row>
    <row r="68" spans="1:19" ht="25.5">
      <c r="A68">
        <v>188</v>
      </c>
      <c r="B68" s="12" t="s">
        <v>683</v>
      </c>
      <c r="D68" t="s">
        <v>857</v>
      </c>
      <c r="E68" t="s">
        <v>472</v>
      </c>
      <c r="F68" t="s">
        <v>571</v>
      </c>
      <c r="G68" t="s">
        <v>572</v>
      </c>
      <c r="H68" t="s">
        <v>102</v>
      </c>
      <c r="I68" s="10" t="s">
        <v>457</v>
      </c>
      <c r="J68" t="s">
        <v>94</v>
      </c>
      <c r="K68" s="10" t="s">
        <v>970</v>
      </c>
      <c r="L68" t="s">
        <v>580</v>
      </c>
      <c r="M68">
        <v>0.581321345024437</v>
      </c>
      <c r="N68">
        <v>1.9030732666212726</v>
      </c>
      <c r="O68" t="s">
        <v>892</v>
      </c>
      <c r="P68" t="s">
        <v>1128</v>
      </c>
      <c r="Q68" t="s">
        <v>7</v>
      </c>
      <c r="R68">
        <v>0.7184</v>
      </c>
      <c r="S68">
        <v>6</v>
      </c>
    </row>
    <row r="69" spans="1:19" ht="25.5">
      <c r="A69">
        <v>188</v>
      </c>
      <c r="B69" s="12" t="s">
        <v>683</v>
      </c>
      <c r="D69" t="s">
        <v>857</v>
      </c>
      <c r="E69" t="s">
        <v>472</v>
      </c>
      <c r="F69" t="s">
        <v>571</v>
      </c>
      <c r="G69" t="s">
        <v>572</v>
      </c>
      <c r="H69" t="s">
        <v>102</v>
      </c>
      <c r="I69" s="10" t="s">
        <v>457</v>
      </c>
      <c r="J69" t="s">
        <v>94</v>
      </c>
      <c r="K69" s="10" t="s">
        <v>1129</v>
      </c>
      <c r="L69" t="s">
        <v>581</v>
      </c>
      <c r="M69">
        <v>0.2740806795722685</v>
      </c>
      <c r="N69">
        <v>0.4478694408110257</v>
      </c>
      <c r="O69" t="s">
        <v>87</v>
      </c>
      <c r="P69" t="s">
        <v>1128</v>
      </c>
      <c r="Q69" t="s">
        <v>107</v>
      </c>
      <c r="R69">
        <v>0.9477</v>
      </c>
      <c r="S69">
        <v>6</v>
      </c>
    </row>
    <row r="70" spans="1:19" ht="25.5">
      <c r="A70">
        <v>35</v>
      </c>
      <c r="B70" t="s">
        <v>582</v>
      </c>
      <c r="D70" t="s">
        <v>583</v>
      </c>
      <c r="E70" t="s">
        <v>472</v>
      </c>
      <c r="F70" t="s">
        <v>603</v>
      </c>
      <c r="H70" t="s">
        <v>102</v>
      </c>
      <c r="I70" s="10" t="s">
        <v>457</v>
      </c>
      <c r="J70" t="s">
        <v>94</v>
      </c>
      <c r="K70" s="10" t="s">
        <v>564</v>
      </c>
      <c r="L70" t="s">
        <v>584</v>
      </c>
      <c r="M70">
        <v>0.4177721385051535</v>
      </c>
      <c r="N70" s="1">
        <v>0.8242203302265498</v>
      </c>
      <c r="O70" t="s">
        <v>87</v>
      </c>
      <c r="P70" t="s">
        <v>797</v>
      </c>
      <c r="Q70" t="s">
        <v>95</v>
      </c>
      <c r="R70">
        <v>0.9598</v>
      </c>
      <c r="S70">
        <v>10</v>
      </c>
    </row>
    <row r="71" spans="1:19" ht="25.5">
      <c r="A71">
        <v>116</v>
      </c>
      <c r="B71" t="s">
        <v>609</v>
      </c>
      <c r="D71" t="s">
        <v>1114</v>
      </c>
      <c r="E71" t="s">
        <v>472</v>
      </c>
      <c r="F71" t="s">
        <v>610</v>
      </c>
      <c r="G71" t="s">
        <v>611</v>
      </c>
      <c r="H71" t="s">
        <v>102</v>
      </c>
      <c r="I71" s="10" t="s">
        <v>457</v>
      </c>
      <c r="J71" t="s">
        <v>94</v>
      </c>
      <c r="K71" s="10" t="s">
        <v>971</v>
      </c>
      <c r="L71" t="s">
        <v>612</v>
      </c>
      <c r="M71">
        <v>0.10949184120691365</v>
      </c>
      <c r="N71">
        <v>0.23333185410507476</v>
      </c>
      <c r="O71" t="s">
        <v>620</v>
      </c>
      <c r="P71" t="s">
        <v>797</v>
      </c>
      <c r="Q71" t="s">
        <v>107</v>
      </c>
      <c r="R71">
        <v>0.9415</v>
      </c>
      <c r="S71">
        <v>5</v>
      </c>
    </row>
    <row r="72" spans="1:19" ht="25.5">
      <c r="A72">
        <v>116</v>
      </c>
      <c r="B72" t="s">
        <v>609</v>
      </c>
      <c r="D72" t="s">
        <v>1114</v>
      </c>
      <c r="E72" t="s">
        <v>472</v>
      </c>
      <c r="F72" t="s">
        <v>610</v>
      </c>
      <c r="G72" t="s">
        <v>611</v>
      </c>
      <c r="H72" t="s">
        <v>102</v>
      </c>
      <c r="I72" s="10" t="s">
        <v>457</v>
      </c>
      <c r="J72" t="s">
        <v>94</v>
      </c>
      <c r="K72" s="10" t="s">
        <v>970</v>
      </c>
      <c r="L72" t="s">
        <v>613</v>
      </c>
      <c r="M72">
        <v>0.1778599712676077</v>
      </c>
      <c r="N72">
        <v>0.3872771117422998</v>
      </c>
      <c r="O72" t="s">
        <v>620</v>
      </c>
      <c r="P72" t="s">
        <v>797</v>
      </c>
      <c r="Q72" t="s">
        <v>604</v>
      </c>
      <c r="R72">
        <v>0.901</v>
      </c>
      <c r="S72">
        <v>5</v>
      </c>
    </row>
    <row r="73" spans="1:19" ht="25.5">
      <c r="A73">
        <v>116</v>
      </c>
      <c r="B73" t="s">
        <v>609</v>
      </c>
      <c r="D73" t="s">
        <v>1114</v>
      </c>
      <c r="E73" t="s">
        <v>472</v>
      </c>
      <c r="F73" t="s">
        <v>610</v>
      </c>
      <c r="G73" t="s">
        <v>611</v>
      </c>
      <c r="H73" t="s">
        <v>102</v>
      </c>
      <c r="I73" s="10" t="s">
        <v>457</v>
      </c>
      <c r="J73" t="s">
        <v>94</v>
      </c>
      <c r="K73" s="10" t="s">
        <v>1129</v>
      </c>
      <c r="L73" t="s">
        <v>614</v>
      </c>
      <c r="M73">
        <v>0.0743724249545425</v>
      </c>
      <c r="N73">
        <v>0.17396269631651867</v>
      </c>
      <c r="O73" t="s">
        <v>620</v>
      </c>
      <c r="P73" t="s">
        <v>797</v>
      </c>
      <c r="Q73" t="s">
        <v>604</v>
      </c>
      <c r="R73">
        <v>0.9601</v>
      </c>
      <c r="S73">
        <v>5</v>
      </c>
    </row>
    <row r="74" spans="1:19" ht="25.5">
      <c r="A74">
        <v>288</v>
      </c>
      <c r="B74" t="s">
        <v>621</v>
      </c>
      <c r="D74" t="s">
        <v>627</v>
      </c>
      <c r="E74" t="s">
        <v>478</v>
      </c>
      <c r="F74" t="s">
        <v>625</v>
      </c>
      <c r="G74" t="s">
        <v>626</v>
      </c>
      <c r="H74" t="s">
        <v>102</v>
      </c>
      <c r="I74" s="10" t="s">
        <v>457</v>
      </c>
      <c r="J74" t="s">
        <v>94</v>
      </c>
      <c r="K74" s="10" t="s">
        <v>971</v>
      </c>
      <c r="L74" t="s">
        <v>496</v>
      </c>
      <c r="M74">
        <v>0.17325470118555253</v>
      </c>
      <c r="N74">
        <v>0.4141118612539515</v>
      </c>
      <c r="O74" t="s">
        <v>988</v>
      </c>
      <c r="P74" t="s">
        <v>508</v>
      </c>
      <c r="Q74" t="s">
        <v>95</v>
      </c>
      <c r="R74">
        <v>0.8873</v>
      </c>
      <c r="S74">
        <v>6</v>
      </c>
    </row>
    <row r="75" spans="1:19" ht="25.5">
      <c r="A75">
        <v>288</v>
      </c>
      <c r="B75" t="s">
        <v>621</v>
      </c>
      <c r="D75" t="s">
        <v>627</v>
      </c>
      <c r="E75" t="s">
        <v>478</v>
      </c>
      <c r="F75" t="s">
        <v>625</v>
      </c>
      <c r="G75" t="s">
        <v>626</v>
      </c>
      <c r="H75" t="s">
        <v>102</v>
      </c>
      <c r="I75" s="10" t="s">
        <v>457</v>
      </c>
      <c r="J75" t="s">
        <v>94</v>
      </c>
      <c r="K75" s="10" t="s">
        <v>970</v>
      </c>
      <c r="L75" t="s">
        <v>497</v>
      </c>
      <c r="M75">
        <v>0.21045674345119048</v>
      </c>
      <c r="N75">
        <v>0.4122151677216326</v>
      </c>
      <c r="O75" t="s">
        <v>988</v>
      </c>
      <c r="P75" t="s">
        <v>797</v>
      </c>
      <c r="Q75" t="s">
        <v>107</v>
      </c>
      <c r="R75">
        <v>0.9608</v>
      </c>
      <c r="S75">
        <v>6</v>
      </c>
    </row>
    <row r="76" spans="1:19" ht="25.5">
      <c r="A76">
        <v>288</v>
      </c>
      <c r="B76" t="s">
        <v>621</v>
      </c>
      <c r="D76" t="s">
        <v>627</v>
      </c>
      <c r="E76" t="s">
        <v>478</v>
      </c>
      <c r="F76" t="s">
        <v>625</v>
      </c>
      <c r="G76" t="s">
        <v>626</v>
      </c>
      <c r="H76" t="s">
        <v>102</v>
      </c>
      <c r="I76" s="10" t="s">
        <v>457</v>
      </c>
      <c r="J76" t="s">
        <v>94</v>
      </c>
      <c r="K76" s="10" t="s">
        <v>1129</v>
      </c>
      <c r="L76" t="s">
        <v>498</v>
      </c>
      <c r="M76">
        <v>0.18744323419050868</v>
      </c>
      <c r="N76">
        <v>0.44758139115800216</v>
      </c>
      <c r="O76" t="s">
        <v>988</v>
      </c>
      <c r="P76" t="s">
        <v>797</v>
      </c>
      <c r="Q76" t="s">
        <v>95</v>
      </c>
      <c r="R76">
        <v>0.9356</v>
      </c>
      <c r="S76">
        <v>6</v>
      </c>
    </row>
    <row r="77" spans="1:19" ht="25.5">
      <c r="A77">
        <v>99</v>
      </c>
      <c r="B77" t="s">
        <v>509</v>
      </c>
      <c r="D77" t="s">
        <v>515</v>
      </c>
      <c r="E77" t="s">
        <v>472</v>
      </c>
      <c r="F77" t="s">
        <v>516</v>
      </c>
      <c r="H77" t="s">
        <v>102</v>
      </c>
      <c r="I77" s="10" t="s">
        <v>457</v>
      </c>
      <c r="J77" t="s">
        <v>94</v>
      </c>
      <c r="K77" s="10" t="s">
        <v>971</v>
      </c>
      <c r="L77" t="s">
        <v>519</v>
      </c>
      <c r="M77">
        <v>0.2116518572034947</v>
      </c>
      <c r="N77">
        <v>0.5049544264501747</v>
      </c>
      <c r="O77" t="s">
        <v>620</v>
      </c>
      <c r="P77" t="s">
        <v>797</v>
      </c>
      <c r="Q77" t="s">
        <v>95</v>
      </c>
      <c r="R77">
        <v>0.9455</v>
      </c>
      <c r="S77">
        <v>8</v>
      </c>
    </row>
    <row r="78" spans="1:19" ht="25.5">
      <c r="A78">
        <v>99</v>
      </c>
      <c r="B78" t="s">
        <v>509</v>
      </c>
      <c r="D78" t="s">
        <v>515</v>
      </c>
      <c r="E78" t="s">
        <v>472</v>
      </c>
      <c r="F78" t="s">
        <v>516</v>
      </c>
      <c r="H78" t="s">
        <v>102</v>
      </c>
      <c r="I78" s="10" t="s">
        <v>457</v>
      </c>
      <c r="J78" t="s">
        <v>94</v>
      </c>
      <c r="K78" s="10" t="s">
        <v>970</v>
      </c>
      <c r="L78" t="s">
        <v>520</v>
      </c>
      <c r="M78">
        <v>0.46011088468415784</v>
      </c>
      <c r="N78">
        <v>1.0928860200485544</v>
      </c>
      <c r="O78" t="s">
        <v>620</v>
      </c>
      <c r="P78" t="s">
        <v>797</v>
      </c>
      <c r="Q78" t="s">
        <v>95</v>
      </c>
      <c r="R78">
        <v>0.9245</v>
      </c>
      <c r="S78">
        <v>8</v>
      </c>
    </row>
    <row r="79" spans="1:19" ht="25.5">
      <c r="A79">
        <v>99</v>
      </c>
      <c r="B79" t="s">
        <v>509</v>
      </c>
      <c r="D79" t="s">
        <v>515</v>
      </c>
      <c r="E79" t="s">
        <v>472</v>
      </c>
      <c r="F79" t="s">
        <v>516</v>
      </c>
      <c r="H79" t="s">
        <v>102</v>
      </c>
      <c r="I79" s="10" t="s">
        <v>457</v>
      </c>
      <c r="J79" t="s">
        <v>94</v>
      </c>
      <c r="K79" s="10" t="s">
        <v>1129</v>
      </c>
      <c r="L79" t="s">
        <v>521</v>
      </c>
      <c r="M79">
        <v>0.44179685980109007</v>
      </c>
      <c r="N79">
        <v>0.7840794961422509</v>
      </c>
      <c r="O79" t="s">
        <v>620</v>
      </c>
      <c r="P79" t="s">
        <v>797</v>
      </c>
      <c r="Q79" t="s">
        <v>95</v>
      </c>
      <c r="R79">
        <v>0.932</v>
      </c>
      <c r="S79">
        <v>8</v>
      </c>
    </row>
    <row r="80" spans="2:19" ht="25.5">
      <c r="B80" t="s">
        <v>522</v>
      </c>
      <c r="D80" t="s">
        <v>561</v>
      </c>
      <c r="E80" t="s">
        <v>473</v>
      </c>
      <c r="F80" t="s">
        <v>523</v>
      </c>
      <c r="G80" t="s">
        <v>572</v>
      </c>
      <c r="H80" t="s">
        <v>102</v>
      </c>
      <c r="I80" s="10" t="s">
        <v>457</v>
      </c>
      <c r="J80" t="s">
        <v>94</v>
      </c>
      <c r="K80" s="10" t="s">
        <v>564</v>
      </c>
      <c r="L80" t="s">
        <v>524</v>
      </c>
      <c r="M80">
        <v>0.17542154567508544</v>
      </c>
      <c r="N80">
        <v>0.39660559002986295</v>
      </c>
      <c r="O80" t="s">
        <v>87</v>
      </c>
      <c r="P80" t="s">
        <v>797</v>
      </c>
      <c r="Q80" t="s">
        <v>95</v>
      </c>
      <c r="R80">
        <v>0.9682</v>
      </c>
      <c r="S80">
        <v>20</v>
      </c>
    </row>
    <row r="81" spans="2:19" ht="25.5">
      <c r="B81" t="s">
        <v>522</v>
      </c>
      <c r="D81" t="s">
        <v>561</v>
      </c>
      <c r="E81" t="s">
        <v>473</v>
      </c>
      <c r="F81" t="s">
        <v>523</v>
      </c>
      <c r="G81" t="s">
        <v>572</v>
      </c>
      <c r="H81" t="s">
        <v>102</v>
      </c>
      <c r="I81" s="10" t="s">
        <v>457</v>
      </c>
      <c r="J81" t="s">
        <v>94</v>
      </c>
      <c r="K81" s="10" t="s">
        <v>564</v>
      </c>
      <c r="L81" t="s">
        <v>525</v>
      </c>
      <c r="M81">
        <v>0.13152307363638638</v>
      </c>
      <c r="N81">
        <v>0.29944666772702944</v>
      </c>
      <c r="O81" t="s">
        <v>87</v>
      </c>
      <c r="P81" t="s">
        <v>797</v>
      </c>
      <c r="Q81" t="s">
        <v>95</v>
      </c>
      <c r="R81">
        <v>0.9737</v>
      </c>
      <c r="S81">
        <v>20</v>
      </c>
    </row>
    <row r="82" spans="2:19" ht="25.5">
      <c r="B82" t="s">
        <v>522</v>
      </c>
      <c r="D82" t="s">
        <v>561</v>
      </c>
      <c r="E82" t="s">
        <v>473</v>
      </c>
      <c r="F82" t="s">
        <v>523</v>
      </c>
      <c r="G82" t="s">
        <v>572</v>
      </c>
      <c r="H82" t="s">
        <v>102</v>
      </c>
      <c r="I82" s="10" t="s">
        <v>457</v>
      </c>
      <c r="J82" t="s">
        <v>94</v>
      </c>
      <c r="K82" s="10" t="s">
        <v>564</v>
      </c>
      <c r="L82" t="s">
        <v>526</v>
      </c>
      <c r="M82">
        <v>0.2498352991639804</v>
      </c>
      <c r="N82">
        <v>0.5052732467309937</v>
      </c>
      <c r="O82" t="s">
        <v>87</v>
      </c>
      <c r="P82" t="s">
        <v>797</v>
      </c>
      <c r="Q82" t="s">
        <v>95</v>
      </c>
      <c r="R82">
        <v>0.9573</v>
      </c>
      <c r="S82">
        <v>20</v>
      </c>
    </row>
    <row r="83" spans="2:19" ht="153">
      <c r="B83" s="10" t="s">
        <v>470</v>
      </c>
      <c r="D83" s="10" t="s">
        <v>1114</v>
      </c>
      <c r="E83" s="10" t="s">
        <v>472</v>
      </c>
      <c r="F83" s="10" t="s">
        <v>467</v>
      </c>
      <c r="G83" s="10" t="s">
        <v>466</v>
      </c>
      <c r="H83" s="10" t="s">
        <v>102</v>
      </c>
      <c r="I83" s="10" t="s">
        <v>469</v>
      </c>
      <c r="J83" s="10" t="s">
        <v>987</v>
      </c>
      <c r="K83" s="10" t="s">
        <v>971</v>
      </c>
      <c r="L83" s="10" t="s">
        <v>468</v>
      </c>
      <c r="M83" s="10">
        <v>0.3454143281649492</v>
      </c>
      <c r="N83" s="10">
        <v>0.8771046139287105</v>
      </c>
      <c r="O83" s="10" t="s">
        <v>892</v>
      </c>
      <c r="Q83" s="10" t="s">
        <v>95</v>
      </c>
      <c r="R83" s="10">
        <v>0.9262</v>
      </c>
      <c r="S83" s="10">
        <v>15</v>
      </c>
    </row>
    <row r="84" spans="2:19" ht="153">
      <c r="B84" s="10" t="s">
        <v>470</v>
      </c>
      <c r="D84" s="10" t="s">
        <v>1114</v>
      </c>
      <c r="E84" s="10" t="s">
        <v>472</v>
      </c>
      <c r="F84" s="10" t="s">
        <v>467</v>
      </c>
      <c r="G84" s="10" t="s">
        <v>466</v>
      </c>
      <c r="H84" s="10" t="s">
        <v>102</v>
      </c>
      <c r="I84" s="10" t="s">
        <v>469</v>
      </c>
      <c r="J84" s="10" t="s">
        <v>987</v>
      </c>
      <c r="K84" s="10" t="s">
        <v>970</v>
      </c>
      <c r="L84" s="10" t="s">
        <v>468</v>
      </c>
      <c r="M84" s="10">
        <v>0.2285376619148625</v>
      </c>
      <c r="N84" s="10">
        <v>0.609030826590394</v>
      </c>
      <c r="O84" s="10" t="s">
        <v>892</v>
      </c>
      <c r="Q84" s="10" t="s">
        <v>95</v>
      </c>
      <c r="R84" s="10">
        <v>0.915</v>
      </c>
      <c r="S84" s="10">
        <v>15</v>
      </c>
    </row>
    <row r="85" spans="2:19" ht="153">
      <c r="B85" s="10" t="s">
        <v>470</v>
      </c>
      <c r="D85" s="10" t="s">
        <v>1114</v>
      </c>
      <c r="E85" s="10" t="s">
        <v>472</v>
      </c>
      <c r="F85" s="10" t="s">
        <v>467</v>
      </c>
      <c r="G85" s="10" t="s">
        <v>466</v>
      </c>
      <c r="H85" s="10" t="s">
        <v>102</v>
      </c>
      <c r="I85" s="10" t="s">
        <v>469</v>
      </c>
      <c r="J85" s="10" t="s">
        <v>987</v>
      </c>
      <c r="K85" s="10" t="s">
        <v>1129</v>
      </c>
      <c r="L85" s="10" t="s">
        <v>468</v>
      </c>
      <c r="M85" s="10">
        <v>0.342741450745548</v>
      </c>
      <c r="N85" s="10">
        <v>0.6862088436899128</v>
      </c>
      <c r="O85" s="10" t="s">
        <v>892</v>
      </c>
      <c r="Q85" s="10" t="s">
        <v>95</v>
      </c>
      <c r="R85" s="10">
        <v>0.9414</v>
      </c>
      <c r="S85" s="10">
        <v>15</v>
      </c>
    </row>
    <row r="86" spans="2:24" ht="12.75">
      <c r="B86" t="s">
        <v>438</v>
      </c>
      <c r="D86">
        <v>1995</v>
      </c>
      <c r="E86">
        <v>2</v>
      </c>
      <c r="F86" t="s">
        <v>439</v>
      </c>
      <c r="G86" t="s">
        <v>472</v>
      </c>
      <c r="H86" t="s">
        <v>440</v>
      </c>
      <c r="I86">
        <v>0</v>
      </c>
      <c r="J86" t="s">
        <v>441</v>
      </c>
      <c r="K86" t="s">
        <v>102</v>
      </c>
      <c r="N86" t="s">
        <v>564</v>
      </c>
      <c r="O86" t="s">
        <v>442</v>
      </c>
      <c r="P86">
        <v>0.2609341491123736</v>
      </c>
      <c r="Q86">
        <v>0.5224149005301874</v>
      </c>
      <c r="T86" t="s">
        <v>87</v>
      </c>
      <c r="U86" t="s">
        <v>797</v>
      </c>
      <c r="X86">
        <v>10</v>
      </c>
    </row>
    <row r="87" spans="2:24" ht="12.75">
      <c r="B87" t="s">
        <v>438</v>
      </c>
      <c r="D87">
        <v>1995</v>
      </c>
      <c r="E87">
        <v>2</v>
      </c>
      <c r="F87" t="s">
        <v>858</v>
      </c>
      <c r="G87" t="s">
        <v>472</v>
      </c>
      <c r="H87" t="s">
        <v>440</v>
      </c>
      <c r="I87">
        <v>0</v>
      </c>
      <c r="J87" t="s">
        <v>441</v>
      </c>
      <c r="K87" t="s">
        <v>102</v>
      </c>
      <c r="N87" t="s">
        <v>564</v>
      </c>
      <c r="O87" t="s">
        <v>443</v>
      </c>
      <c r="P87">
        <v>0.37447835335031665</v>
      </c>
      <c r="Q87">
        <v>0.829545359622706</v>
      </c>
      <c r="X87">
        <v>10</v>
      </c>
    </row>
    <row r="88" spans="2:24" ht="12.75">
      <c r="B88" t="s">
        <v>438</v>
      </c>
      <c r="D88">
        <v>1995</v>
      </c>
      <c r="E88">
        <v>2</v>
      </c>
      <c r="F88" t="s">
        <v>477</v>
      </c>
      <c r="G88" t="s">
        <v>472</v>
      </c>
      <c r="H88" t="s">
        <v>440</v>
      </c>
      <c r="I88">
        <v>0</v>
      </c>
      <c r="J88" t="s">
        <v>441</v>
      </c>
      <c r="K88" t="s">
        <v>102</v>
      </c>
      <c r="N88" t="s">
        <v>564</v>
      </c>
      <c r="O88" t="s">
        <v>444</v>
      </c>
      <c r="P88">
        <v>0.21106123693193993</v>
      </c>
      <c r="Q88">
        <v>0.44722106486053503</v>
      </c>
      <c r="X88">
        <v>10</v>
      </c>
    </row>
    <row r="89" spans="2:24" ht="12.75">
      <c r="B89" t="s">
        <v>438</v>
      </c>
      <c r="D89">
        <v>1995</v>
      </c>
      <c r="E89">
        <v>2</v>
      </c>
      <c r="F89" t="s">
        <v>820</v>
      </c>
      <c r="G89" t="s">
        <v>472</v>
      </c>
      <c r="H89" t="s">
        <v>440</v>
      </c>
      <c r="I89">
        <v>0</v>
      </c>
      <c r="J89" t="s">
        <v>441</v>
      </c>
      <c r="K89" t="s">
        <v>102</v>
      </c>
      <c r="N89" t="s">
        <v>564</v>
      </c>
      <c r="O89" t="s">
        <v>445</v>
      </c>
      <c r="P89">
        <v>0.13186604218615594</v>
      </c>
      <c r="Q89">
        <v>0.29202205279359444</v>
      </c>
      <c r="X89">
        <v>10</v>
      </c>
    </row>
    <row r="90" spans="2:24" ht="12.75">
      <c r="B90" t="s">
        <v>438</v>
      </c>
      <c r="D90">
        <v>1995</v>
      </c>
      <c r="E90">
        <v>2</v>
      </c>
      <c r="F90" t="s">
        <v>1114</v>
      </c>
      <c r="G90" t="s">
        <v>472</v>
      </c>
      <c r="H90" t="s">
        <v>440</v>
      </c>
      <c r="I90">
        <v>0</v>
      </c>
      <c r="J90" t="s">
        <v>441</v>
      </c>
      <c r="K90" t="s">
        <v>102</v>
      </c>
      <c r="N90" t="s">
        <v>564</v>
      </c>
      <c r="O90" t="s">
        <v>446</v>
      </c>
      <c r="P90">
        <v>0.4513182675335069</v>
      </c>
      <c r="Q90">
        <v>1.184870399061018</v>
      </c>
      <c r="X90">
        <v>10</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3:E12"/>
  <sheetViews>
    <sheetView workbookViewId="0" topLeftCell="A4">
      <selection activeCell="C16" sqref="C16:E18"/>
    </sheetView>
  </sheetViews>
  <sheetFormatPr defaultColWidth="9.140625" defaultRowHeight="12.75"/>
  <cols>
    <col min="1" max="16384" width="8.8515625" style="0" customWidth="1"/>
  </cols>
  <sheetData>
    <row r="3" ht="12.75">
      <c r="A3" t="s">
        <v>1130</v>
      </c>
    </row>
    <row r="5" ht="12.75">
      <c r="C5" t="s">
        <v>1131</v>
      </c>
    </row>
    <row r="6" ht="12.75">
      <c r="C6" t="s">
        <v>1</v>
      </c>
    </row>
    <row r="7" ht="12.75">
      <c r="C7" t="s">
        <v>1132</v>
      </c>
    </row>
    <row r="8" ht="12.75">
      <c r="E8" t="s">
        <v>946</v>
      </c>
    </row>
    <row r="12" ht="12.75">
      <c r="C12" t="s">
        <v>968</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V23"/>
  <sheetViews>
    <sheetView workbookViewId="0" topLeftCell="A1">
      <selection activeCell="G11" sqref="G11"/>
    </sheetView>
  </sheetViews>
  <sheetFormatPr defaultColWidth="9.140625" defaultRowHeight="12.75"/>
  <cols>
    <col min="1" max="4" width="8.8515625" style="0" customWidth="1"/>
    <col min="5" max="5" width="12.421875" style="0" customWidth="1"/>
    <col min="6" max="6" width="11.421875" style="0" customWidth="1"/>
    <col min="7" max="11" width="8.8515625" style="0" customWidth="1"/>
    <col min="12" max="13" width="12.421875" style="0" customWidth="1"/>
    <col min="14" max="15" width="13.421875" style="0" customWidth="1"/>
    <col min="16" max="16384" width="8.8515625" style="0" customWidth="1"/>
  </cols>
  <sheetData>
    <row r="1" spans="1:17" ht="63.75">
      <c r="A1" s="7" t="s">
        <v>69</v>
      </c>
      <c r="B1" s="7" t="s">
        <v>57</v>
      </c>
      <c r="C1" s="7" t="s">
        <v>58</v>
      </c>
      <c r="D1" s="7" t="s">
        <v>59</v>
      </c>
      <c r="E1" s="7" t="s">
        <v>60</v>
      </c>
      <c r="F1" s="7" t="s">
        <v>92</v>
      </c>
      <c r="G1" s="7" t="s">
        <v>61</v>
      </c>
      <c r="H1" s="7" t="s">
        <v>62</v>
      </c>
      <c r="I1" s="7" t="s">
        <v>63</v>
      </c>
      <c r="J1" s="8" t="s">
        <v>64</v>
      </c>
      <c r="K1" s="8" t="s">
        <v>138</v>
      </c>
      <c r="L1" s="7" t="s">
        <v>1126</v>
      </c>
      <c r="M1" s="7" t="s">
        <v>1127</v>
      </c>
      <c r="N1" s="7" t="s">
        <v>66</v>
      </c>
      <c r="O1" s="7" t="s">
        <v>85</v>
      </c>
      <c r="P1" s="7" t="s">
        <v>67</v>
      </c>
      <c r="Q1" s="7" t="s">
        <v>68</v>
      </c>
    </row>
    <row r="2" spans="2:16" ht="12.75">
      <c r="B2" t="s">
        <v>174</v>
      </c>
      <c r="D2" t="s">
        <v>1020</v>
      </c>
      <c r="E2" t="s">
        <v>4</v>
      </c>
      <c r="G2" t="s">
        <v>102</v>
      </c>
      <c r="H2" t="s">
        <v>94</v>
      </c>
      <c r="I2" t="s">
        <v>96</v>
      </c>
      <c r="J2">
        <v>0.15014525847528185</v>
      </c>
      <c r="K2">
        <v>0.37771720708987405</v>
      </c>
      <c r="L2" t="s">
        <v>87</v>
      </c>
      <c r="M2" t="s">
        <v>1128</v>
      </c>
      <c r="N2" t="s">
        <v>95</v>
      </c>
      <c r="O2">
        <v>0.94</v>
      </c>
      <c r="P2">
        <v>6</v>
      </c>
    </row>
    <row r="3" spans="2:16" ht="12.75">
      <c r="B3" t="s">
        <v>174</v>
      </c>
      <c r="D3" t="s">
        <v>1020</v>
      </c>
      <c r="E3" t="s">
        <v>4</v>
      </c>
      <c r="G3" t="s">
        <v>102</v>
      </c>
      <c r="H3" t="s">
        <v>94</v>
      </c>
      <c r="I3" t="s">
        <v>97</v>
      </c>
      <c r="J3">
        <v>0.2451946739904093</v>
      </c>
      <c r="K3">
        <v>0.565039466722118</v>
      </c>
      <c r="L3" t="s">
        <v>87</v>
      </c>
      <c r="M3" t="s">
        <v>1128</v>
      </c>
      <c r="N3" t="s">
        <v>95</v>
      </c>
      <c r="O3">
        <v>0.91</v>
      </c>
      <c r="P3">
        <v>6</v>
      </c>
    </row>
    <row r="4" spans="2:17" ht="12.75">
      <c r="B4" t="s">
        <v>174</v>
      </c>
      <c r="D4" t="s">
        <v>1020</v>
      </c>
      <c r="E4" t="s">
        <v>4</v>
      </c>
      <c r="G4" t="s">
        <v>102</v>
      </c>
      <c r="H4" t="s">
        <v>94</v>
      </c>
      <c r="I4" t="s">
        <v>5</v>
      </c>
      <c r="J4" s="9">
        <v>0.25805022612062706</v>
      </c>
      <c r="K4" s="9">
        <v>0.6399698323925269</v>
      </c>
      <c r="L4" t="s">
        <v>87</v>
      </c>
      <c r="N4" t="s">
        <v>7</v>
      </c>
      <c r="O4">
        <v>0.83</v>
      </c>
      <c r="P4">
        <v>6</v>
      </c>
      <c r="Q4" t="s">
        <v>1019</v>
      </c>
    </row>
    <row r="5" ht="12.75">
      <c r="B5" t="s">
        <v>175</v>
      </c>
    </row>
    <row r="6" ht="12.75">
      <c r="B6" t="s">
        <v>176</v>
      </c>
    </row>
    <row r="8" ht="12.75">
      <c r="B8" t="s">
        <v>186</v>
      </c>
    </row>
    <row r="9" ht="12.75">
      <c r="B9" t="s">
        <v>185</v>
      </c>
    </row>
    <row r="11" spans="2:22" ht="13.5" thickBot="1">
      <c r="B11" s="22" t="s">
        <v>375</v>
      </c>
      <c r="C11" s="22" t="s">
        <v>177</v>
      </c>
      <c r="D11" s="22" t="s">
        <v>183</v>
      </c>
      <c r="E11" s="22" t="s">
        <v>184</v>
      </c>
      <c r="F11" s="22" t="s">
        <v>2</v>
      </c>
      <c r="G11" s="22" t="s">
        <v>3</v>
      </c>
      <c r="I11" s="22" t="s">
        <v>187</v>
      </c>
      <c r="J11" s="22" t="s">
        <v>188</v>
      </c>
      <c r="K11" s="22" t="s">
        <v>6</v>
      </c>
      <c r="P11" t="s">
        <v>189</v>
      </c>
      <c r="Q11" t="s">
        <v>190</v>
      </c>
      <c r="R11" t="s">
        <v>191</v>
      </c>
      <c r="S11" t="s">
        <v>188</v>
      </c>
      <c r="T11" t="s">
        <v>6</v>
      </c>
      <c r="V11" t="s">
        <v>1129</v>
      </c>
    </row>
    <row r="12" spans="2:22" ht="12.75">
      <c r="B12" s="23">
        <v>1</v>
      </c>
      <c r="C12" s="23" t="s">
        <v>178</v>
      </c>
      <c r="D12" s="23">
        <v>57.5</v>
      </c>
      <c r="E12" s="23">
        <v>51.5</v>
      </c>
      <c r="F12" s="23">
        <f aca="true" t="shared" si="0" ref="F12:F17">E12*1000/D12</f>
        <v>895.6521739130435</v>
      </c>
      <c r="G12" s="23">
        <f>F12/1000</f>
        <v>0.8956521739130435</v>
      </c>
      <c r="I12" s="23">
        <f aca="true" t="shared" si="1" ref="I12:J17">LOG(D12)</f>
        <v>1.7596678446896306</v>
      </c>
      <c r="J12" s="23">
        <f t="shared" si="1"/>
        <v>1.711807229041191</v>
      </c>
      <c r="K12" s="23">
        <f aca="true" t="shared" si="2" ref="K12:K17">LOG(G12)</f>
        <v>-0.04786061564843946</v>
      </c>
      <c r="M12">
        <v>-1.2815519393373522</v>
      </c>
      <c r="N12">
        <v>14.2</v>
      </c>
      <c r="P12">
        <f aca="true" t="shared" si="3" ref="P12:P17">(B12-3/8)/6.25</f>
        <v>0.1</v>
      </c>
      <c r="Q12">
        <f aca="true" t="shared" si="4" ref="Q12:Q17">NORMSINV(P12)</f>
        <v>-1.2815519393373522</v>
      </c>
      <c r="R12">
        <v>1.5843312243675307</v>
      </c>
      <c r="S12">
        <v>1.1522883443830565</v>
      </c>
      <c r="T12">
        <v>-0.555602590088961</v>
      </c>
      <c r="V12">
        <v>0.2782258064516129</v>
      </c>
    </row>
    <row r="13" spans="2:22" ht="12.75">
      <c r="B13" s="23">
        <v>2</v>
      </c>
      <c r="C13" s="23" t="s">
        <v>179</v>
      </c>
      <c r="D13" s="23">
        <v>46.1</v>
      </c>
      <c r="E13" s="23">
        <v>48</v>
      </c>
      <c r="F13" s="23">
        <f t="shared" si="0"/>
        <v>1041.2147505422993</v>
      </c>
      <c r="G13" s="23">
        <f aca="true" t="shared" si="5" ref="G13:G19">F13/1000</f>
        <v>1.0412147505422993</v>
      </c>
      <c r="I13" s="23">
        <f t="shared" si="1"/>
        <v>1.6637009253896482</v>
      </c>
      <c r="J13" s="23">
        <f t="shared" si="1"/>
        <v>1.6812412373755872</v>
      </c>
      <c r="K13" s="23">
        <f t="shared" si="2"/>
        <v>0.017540311985939045</v>
      </c>
      <c r="M13">
        <v>-0.6433452029738813</v>
      </c>
      <c r="N13">
        <v>15</v>
      </c>
      <c r="P13">
        <f t="shared" si="3"/>
        <v>0.26</v>
      </c>
      <c r="Q13">
        <f t="shared" si="4"/>
        <v>-0.6433452029738813</v>
      </c>
      <c r="R13">
        <v>1.6541765418779606</v>
      </c>
      <c r="S13">
        <v>1.1760912590556813</v>
      </c>
      <c r="T13">
        <v>-0.5459631505511497</v>
      </c>
      <c r="V13">
        <v>0.2844702467343977</v>
      </c>
    </row>
    <row r="14" spans="2:22" ht="12.75">
      <c r="B14" s="23">
        <v>3</v>
      </c>
      <c r="C14" s="23" t="s">
        <v>179</v>
      </c>
      <c r="D14" s="23">
        <v>99.2</v>
      </c>
      <c r="E14" s="23">
        <v>27.6</v>
      </c>
      <c r="F14" s="23">
        <f t="shared" si="0"/>
        <v>278.22580645161287</v>
      </c>
      <c r="G14" s="23">
        <f t="shared" si="5"/>
        <v>0.2782258064516129</v>
      </c>
      <c r="I14" s="23">
        <f t="shared" si="1"/>
        <v>1.9965116721541787</v>
      </c>
      <c r="J14" s="23">
        <f t="shared" si="1"/>
        <v>1.4409090820652177</v>
      </c>
      <c r="K14" s="23">
        <f t="shared" si="2"/>
        <v>-0.555602590088961</v>
      </c>
      <c r="M14">
        <v>-0.2018935396792244</v>
      </c>
      <c r="N14">
        <v>19.6</v>
      </c>
      <c r="P14">
        <f t="shared" si="3"/>
        <v>0.42</v>
      </c>
      <c r="Q14">
        <f t="shared" si="4"/>
        <v>-0.2018935396792244</v>
      </c>
      <c r="R14">
        <v>1.6637009253896482</v>
      </c>
      <c r="S14">
        <v>1.2922560713564761</v>
      </c>
      <c r="T14">
        <v>-0.501888197494904</v>
      </c>
      <c r="V14">
        <v>0.3148558758314856</v>
      </c>
    </row>
    <row r="15" spans="2:22" ht="12.75">
      <c r="B15" s="23">
        <v>4</v>
      </c>
      <c r="C15" s="23" t="s">
        <v>180</v>
      </c>
      <c r="D15" s="23">
        <v>68.9</v>
      </c>
      <c r="E15" s="23">
        <v>19.6</v>
      </c>
      <c r="F15" s="23">
        <f t="shared" si="0"/>
        <v>284.4702467343977</v>
      </c>
      <c r="G15" s="23">
        <f t="shared" si="5"/>
        <v>0.2844702467343977</v>
      </c>
      <c r="I15" s="23">
        <f t="shared" si="1"/>
        <v>1.8382192219076259</v>
      </c>
      <c r="J15" s="23">
        <f t="shared" si="1"/>
        <v>1.2922560713564761</v>
      </c>
      <c r="K15" s="23">
        <f t="shared" si="2"/>
        <v>-0.5459631505511497</v>
      </c>
      <c r="M15">
        <v>0.20189353967922397</v>
      </c>
      <c r="N15">
        <v>27.6</v>
      </c>
      <c r="P15">
        <f t="shared" si="3"/>
        <v>0.58</v>
      </c>
      <c r="Q15">
        <f t="shared" si="4"/>
        <v>0.20189353967922397</v>
      </c>
      <c r="R15">
        <v>1.7596678446896306</v>
      </c>
      <c r="S15">
        <v>1.4409090820652177</v>
      </c>
      <c r="T15">
        <v>-0.4082399653118496</v>
      </c>
      <c r="V15">
        <v>0.390625</v>
      </c>
    </row>
    <row r="16" spans="2:22" ht="12.75">
      <c r="B16" s="23">
        <v>5</v>
      </c>
      <c r="C16" s="23" t="s">
        <v>181</v>
      </c>
      <c r="D16" s="23">
        <v>38.4</v>
      </c>
      <c r="E16" s="23">
        <v>15</v>
      </c>
      <c r="F16" s="23">
        <f t="shared" si="0"/>
        <v>390.625</v>
      </c>
      <c r="G16" s="23">
        <f t="shared" si="5"/>
        <v>0.390625</v>
      </c>
      <c r="I16" s="23">
        <f t="shared" si="1"/>
        <v>1.5843312243675307</v>
      </c>
      <c r="J16" s="23">
        <f t="shared" si="1"/>
        <v>1.1760912590556813</v>
      </c>
      <c r="K16" s="23">
        <f t="shared" si="2"/>
        <v>-0.4082399653118496</v>
      </c>
      <c r="M16">
        <v>0.6433452029738806</v>
      </c>
      <c r="N16">
        <v>48</v>
      </c>
      <c r="P16">
        <f t="shared" si="3"/>
        <v>0.74</v>
      </c>
      <c r="Q16">
        <f t="shared" si="4"/>
        <v>0.6433452029738806</v>
      </c>
      <c r="R16">
        <v>1.8382192219076259</v>
      </c>
      <c r="S16">
        <v>1.6812412373755872</v>
      </c>
      <c r="T16">
        <v>-0.04786061564843946</v>
      </c>
      <c r="V16">
        <v>0.8956521739130435</v>
      </c>
    </row>
    <row r="17" spans="2:22" ht="12.75">
      <c r="B17" s="23">
        <v>6</v>
      </c>
      <c r="C17" s="23" t="s">
        <v>182</v>
      </c>
      <c r="D17" s="23">
        <v>45.1</v>
      </c>
      <c r="E17" s="23">
        <v>14.2</v>
      </c>
      <c r="F17" s="23">
        <f t="shared" si="0"/>
        <v>314.8558758314856</v>
      </c>
      <c r="G17" s="23">
        <f t="shared" si="5"/>
        <v>0.3148558758314856</v>
      </c>
      <c r="I17" s="23">
        <f t="shared" si="1"/>
        <v>1.6541765418779606</v>
      </c>
      <c r="J17" s="23">
        <f t="shared" si="1"/>
        <v>1.1522883443830565</v>
      </c>
      <c r="K17" s="23">
        <f t="shared" si="2"/>
        <v>-0.501888197494904</v>
      </c>
      <c r="M17">
        <v>1.2815519393373522</v>
      </c>
      <c r="N17">
        <v>51.5</v>
      </c>
      <c r="P17">
        <f t="shared" si="3"/>
        <v>0.9</v>
      </c>
      <c r="Q17">
        <f t="shared" si="4"/>
        <v>1.2815519393373522</v>
      </c>
      <c r="R17">
        <v>1.9965116721541787</v>
      </c>
      <c r="S17">
        <v>1.711807229041191</v>
      </c>
      <c r="T17">
        <v>0.017540311985939045</v>
      </c>
      <c r="V17">
        <v>1.0412147505422993</v>
      </c>
    </row>
    <row r="18" ht="12.75">
      <c r="F18" s="9"/>
    </row>
    <row r="19" spans="2:11" ht="12.75">
      <c r="B19" t="s">
        <v>134</v>
      </c>
      <c r="D19">
        <f>AVERAGE(D12:D17)</f>
        <v>59.20000000000001</v>
      </c>
      <c r="E19">
        <f>AVERAGE(E12:E17)</f>
        <v>29.316666666666663</v>
      </c>
      <c r="F19" s="9">
        <f>AVERAGE(F12:F17)</f>
        <v>534.1739755788066</v>
      </c>
      <c r="G19">
        <f t="shared" si="5"/>
        <v>0.5341739755788065</v>
      </c>
      <c r="I19">
        <f>AVERAGE(I12:I17)</f>
        <v>1.749434571731096</v>
      </c>
      <c r="J19">
        <f>AVERAGE(J12:J17)</f>
        <v>1.4090988705462015</v>
      </c>
      <c r="K19">
        <f>AVERAGE(K12:K17)</f>
        <v>-0.34033570118489415</v>
      </c>
    </row>
    <row r="20" spans="2:11" ht="12.75">
      <c r="B20" t="s">
        <v>135</v>
      </c>
      <c r="D20">
        <f>STDEV(D12:D17)</f>
        <v>22.36085865972055</v>
      </c>
      <c r="E20">
        <f>STDEV(E12:E17)</f>
        <v>16.565073699403424</v>
      </c>
      <c r="F20" s="9">
        <f>STDEV(F12:F17)</f>
        <v>341.8552296196183</v>
      </c>
      <c r="G20" s="9">
        <f>STDEV(G12:G17)</f>
        <v>0.34185522961961856</v>
      </c>
      <c r="I20">
        <f>STDEV(I12:I17)</f>
        <v>0.15014525847528185</v>
      </c>
      <c r="J20">
        <f>STDEV(J12:J17)</f>
        <v>0.2451946739904093</v>
      </c>
      <c r="K20">
        <f>STDEV(K12:K17)</f>
        <v>0.25805022612062706</v>
      </c>
    </row>
    <row r="21" spans="2:10" ht="12.75">
      <c r="B21" t="s">
        <v>136</v>
      </c>
      <c r="D21">
        <f>COUNT(D12:D17)</f>
        <v>6</v>
      </c>
      <c r="E21">
        <f>COUNT(E12:E17)</f>
        <v>6</v>
      </c>
      <c r="F21" s="9">
        <f>COUNT(F12:F17)</f>
        <v>6</v>
      </c>
      <c r="G21" s="9">
        <f>COUNT(G12:G17)</f>
        <v>6</v>
      </c>
      <c r="I21">
        <f>COUNT(I12:I17)</f>
        <v>6</v>
      </c>
      <c r="J21">
        <f>COUNT(J12:J17)</f>
        <v>6</v>
      </c>
    </row>
    <row r="22" spans="2:7" ht="12.75">
      <c r="B22" t="s">
        <v>137</v>
      </c>
      <c r="D22">
        <f>(D20/D21^0.5)</f>
        <v>9.128782321134983</v>
      </c>
      <c r="E22">
        <f>(E20/E21^0.5)</f>
        <v>6.762663019189348</v>
      </c>
      <c r="F22" s="9">
        <f>(F20/F21^0.5)</f>
        <v>139.56181307834052</v>
      </c>
      <c r="G22" s="9">
        <f>(G20/G21^0.5)</f>
        <v>0.13956181307834065</v>
      </c>
    </row>
    <row r="23" spans="2:7" ht="12.75">
      <c r="B23" t="s">
        <v>138</v>
      </c>
      <c r="D23">
        <f>D20/D19</f>
        <v>0.37771720708987405</v>
      </c>
      <c r="E23">
        <f>E20/E19</f>
        <v>0.565039466722118</v>
      </c>
      <c r="F23" s="9">
        <f>F20/F19</f>
        <v>0.6399698323925264</v>
      </c>
      <c r="G23" s="9">
        <f>G20/G19</f>
        <v>0.6399698323925269</v>
      </c>
    </row>
  </sheetData>
  <printOptions/>
  <pageMargins left="0.75" right="0.75" top="1" bottom="1" header="0.5" footer="0.5"/>
  <pageSetup orientation="portrait"/>
  <drawing r:id="rId1"/>
</worksheet>
</file>

<file path=xl/worksheets/sheet2.xml><?xml version="1.0" encoding="utf-8"?>
<worksheet xmlns="http://schemas.openxmlformats.org/spreadsheetml/2006/main" xmlns:r="http://schemas.openxmlformats.org/officeDocument/2006/relationships">
  <dimension ref="A1:V129"/>
  <sheetViews>
    <sheetView tabSelected="1" workbookViewId="0" topLeftCell="A48">
      <selection activeCell="A53" sqref="A53"/>
    </sheetView>
  </sheetViews>
  <sheetFormatPr defaultColWidth="9.140625" defaultRowHeight="12.75"/>
  <cols>
    <col min="1" max="1" width="14.8515625" style="0" customWidth="1"/>
    <col min="2" max="5" width="8.8515625" style="0" customWidth="1"/>
    <col min="6" max="6" width="16.28125" style="0" customWidth="1"/>
    <col min="7" max="7" width="10.7109375" style="0" customWidth="1"/>
    <col min="8" max="8" width="8.8515625" style="0" customWidth="1"/>
    <col min="9" max="9" width="10.00390625" style="0" customWidth="1"/>
    <col min="10" max="11" width="8.8515625" style="0" customWidth="1"/>
    <col min="12" max="12" width="18.140625" style="0" customWidth="1"/>
    <col min="13" max="16" width="8.8515625" style="0" customWidth="1"/>
    <col min="17" max="17" width="9.8515625" style="0" customWidth="1"/>
    <col min="18" max="18" width="11.421875" style="0" customWidth="1"/>
    <col min="19" max="16384" width="8.8515625" style="0" customWidth="1"/>
  </cols>
  <sheetData>
    <row r="1" spans="1:22" ht="63.75">
      <c r="A1" s="74" t="s">
        <v>57</v>
      </c>
      <c r="B1" s="74" t="s">
        <v>58</v>
      </c>
      <c r="C1" s="74" t="s">
        <v>414</v>
      </c>
      <c r="D1" s="18" t="s">
        <v>416</v>
      </c>
      <c r="E1" s="18" t="s">
        <v>417</v>
      </c>
      <c r="F1" s="74" t="s">
        <v>60</v>
      </c>
      <c r="G1" s="74" t="s">
        <v>92</v>
      </c>
      <c r="H1" s="74" t="s">
        <v>61</v>
      </c>
      <c r="I1" s="74" t="s">
        <v>461</v>
      </c>
      <c r="J1" s="74" t="s">
        <v>62</v>
      </c>
      <c r="K1" s="74" t="s">
        <v>419</v>
      </c>
      <c r="L1" s="74" t="s">
        <v>63</v>
      </c>
      <c r="M1" s="75" t="s">
        <v>420</v>
      </c>
      <c r="N1" s="75" t="s">
        <v>138</v>
      </c>
      <c r="O1" s="76" t="s">
        <v>421</v>
      </c>
      <c r="P1" s="76" t="s">
        <v>422</v>
      </c>
      <c r="Q1" s="74" t="s">
        <v>1126</v>
      </c>
      <c r="R1" s="74" t="s">
        <v>1127</v>
      </c>
      <c r="S1" s="74" t="s">
        <v>336</v>
      </c>
      <c r="T1" s="74" t="s">
        <v>337</v>
      </c>
      <c r="U1" s="74" t="s">
        <v>539</v>
      </c>
      <c r="V1" s="74" t="s">
        <v>423</v>
      </c>
    </row>
    <row r="2" spans="1:22" ht="12.75">
      <c r="A2" s="77" t="s">
        <v>438</v>
      </c>
      <c r="B2" s="77"/>
      <c r="C2" s="77">
        <v>1995</v>
      </c>
      <c r="D2" s="77" t="s">
        <v>439</v>
      </c>
      <c r="E2" s="77" t="s">
        <v>472</v>
      </c>
      <c r="F2" s="77" t="s">
        <v>440</v>
      </c>
      <c r="G2" s="77" t="s">
        <v>441</v>
      </c>
      <c r="H2" s="77" t="s">
        <v>102</v>
      </c>
      <c r="I2" s="77"/>
      <c r="J2" s="77" t="s">
        <v>94</v>
      </c>
      <c r="K2" s="77" t="s">
        <v>564</v>
      </c>
      <c r="L2" s="77" t="s">
        <v>442</v>
      </c>
      <c r="M2" s="77">
        <v>0.2609341491123736</v>
      </c>
      <c r="N2" s="77">
        <v>0.5224149005301874</v>
      </c>
      <c r="O2" s="77">
        <f aca="true" t="shared" si="0" ref="O2:P6">M2^2</f>
        <v>0.06808663017299843</v>
      </c>
      <c r="P2" s="77">
        <f t="shared" si="0"/>
        <v>0.27291732829596554</v>
      </c>
      <c r="Q2" s="77" t="s">
        <v>87</v>
      </c>
      <c r="R2" s="77" t="s">
        <v>797</v>
      </c>
      <c r="S2" s="77" t="s">
        <v>95</v>
      </c>
      <c r="T2">
        <v>0.945</v>
      </c>
      <c r="U2" s="77">
        <v>10</v>
      </c>
      <c r="V2" s="77">
        <f>U2-1</f>
        <v>9</v>
      </c>
    </row>
    <row r="3" spans="1:22" ht="12.75">
      <c r="A3" s="78" t="s">
        <v>438</v>
      </c>
      <c r="B3" s="78"/>
      <c r="C3" s="78">
        <v>1995</v>
      </c>
      <c r="D3" s="78" t="s">
        <v>858</v>
      </c>
      <c r="E3" s="78" t="s">
        <v>472</v>
      </c>
      <c r="F3" s="78" t="s">
        <v>440</v>
      </c>
      <c r="G3" s="78" t="s">
        <v>441</v>
      </c>
      <c r="H3" s="78" t="s">
        <v>102</v>
      </c>
      <c r="I3" s="78"/>
      <c r="J3" s="77" t="s">
        <v>94</v>
      </c>
      <c r="K3" s="78" t="s">
        <v>564</v>
      </c>
      <c r="L3" s="78" t="s">
        <v>443</v>
      </c>
      <c r="M3" s="78">
        <v>0.37447835335031665</v>
      </c>
      <c r="N3" s="78">
        <v>0.829545359622706</v>
      </c>
      <c r="O3" s="77">
        <f t="shared" si="0"/>
        <v>0.14023403712796462</v>
      </c>
      <c r="P3" s="77">
        <f t="shared" si="0"/>
        <v>0.6881455036715647</v>
      </c>
      <c r="Q3" s="77" t="s">
        <v>87</v>
      </c>
      <c r="R3" s="77" t="s">
        <v>797</v>
      </c>
      <c r="S3" s="77" t="s">
        <v>95</v>
      </c>
      <c r="T3">
        <v>0.948</v>
      </c>
      <c r="U3" s="78">
        <v>10</v>
      </c>
      <c r="V3" s="77">
        <f aca="true" t="shared" si="1" ref="V3:V66">U3-1</f>
        <v>9</v>
      </c>
    </row>
    <row r="4" spans="1:22" ht="12.75">
      <c r="A4" s="78" t="s">
        <v>438</v>
      </c>
      <c r="B4" s="78"/>
      <c r="C4" s="78">
        <v>1995</v>
      </c>
      <c r="D4" s="78" t="s">
        <v>477</v>
      </c>
      <c r="E4" s="78" t="s">
        <v>472</v>
      </c>
      <c r="F4" s="78" t="s">
        <v>440</v>
      </c>
      <c r="G4" s="78" t="s">
        <v>441</v>
      </c>
      <c r="H4" s="78" t="s">
        <v>102</v>
      </c>
      <c r="I4" s="78"/>
      <c r="J4" s="77" t="s">
        <v>94</v>
      </c>
      <c r="K4" s="78" t="s">
        <v>564</v>
      </c>
      <c r="L4" s="78" t="s">
        <v>444</v>
      </c>
      <c r="M4" s="78">
        <v>0.21106123693193993</v>
      </c>
      <c r="N4" s="78">
        <v>0.44722106486053503</v>
      </c>
      <c r="O4" s="77">
        <f t="shared" si="0"/>
        <v>0.04454684573524048</v>
      </c>
      <c r="P4" s="77">
        <f t="shared" si="0"/>
        <v>0.20000668085499088</v>
      </c>
      <c r="Q4" s="77" t="s">
        <v>87</v>
      </c>
      <c r="R4" s="77" t="s">
        <v>797</v>
      </c>
      <c r="S4" s="77" t="s">
        <v>95</v>
      </c>
      <c r="T4">
        <v>0.888</v>
      </c>
      <c r="U4" s="78">
        <v>10</v>
      </c>
      <c r="V4" s="77">
        <f t="shared" si="1"/>
        <v>9</v>
      </c>
    </row>
    <row r="5" spans="1:22" ht="12.75">
      <c r="A5" s="78" t="s">
        <v>438</v>
      </c>
      <c r="B5" s="78"/>
      <c r="C5" s="78">
        <v>1995</v>
      </c>
      <c r="D5" s="78" t="s">
        <v>820</v>
      </c>
      <c r="E5" s="78" t="s">
        <v>472</v>
      </c>
      <c r="F5" s="78" t="s">
        <v>440</v>
      </c>
      <c r="G5" s="78" t="s">
        <v>441</v>
      </c>
      <c r="H5" s="78" t="s">
        <v>102</v>
      </c>
      <c r="I5" s="78"/>
      <c r="J5" s="77" t="s">
        <v>94</v>
      </c>
      <c r="K5" s="78" t="s">
        <v>564</v>
      </c>
      <c r="L5" s="78" t="s">
        <v>445</v>
      </c>
      <c r="M5" s="78">
        <v>0.13186604218615594</v>
      </c>
      <c r="N5" s="78">
        <v>0.29202205279359444</v>
      </c>
      <c r="O5" s="77">
        <f t="shared" si="0"/>
        <v>0.01738865308184106</v>
      </c>
      <c r="P5" s="77">
        <f t="shared" si="0"/>
        <v>0.08527687931778487</v>
      </c>
      <c r="Q5" s="77" t="s">
        <v>87</v>
      </c>
      <c r="R5" s="77" t="s">
        <v>797</v>
      </c>
      <c r="S5" s="77" t="s">
        <v>95</v>
      </c>
      <c r="T5">
        <v>0.958</v>
      </c>
      <c r="U5" s="78">
        <v>10</v>
      </c>
      <c r="V5" s="77">
        <f t="shared" si="1"/>
        <v>9</v>
      </c>
    </row>
    <row r="6" spans="1:22" ht="12.75">
      <c r="A6" s="78" t="s">
        <v>438</v>
      </c>
      <c r="B6" s="78"/>
      <c r="C6" s="78">
        <v>1995</v>
      </c>
      <c r="D6" s="78" t="s">
        <v>1114</v>
      </c>
      <c r="E6" s="78" t="s">
        <v>472</v>
      </c>
      <c r="F6" s="78" t="s">
        <v>440</v>
      </c>
      <c r="G6" s="78" t="s">
        <v>441</v>
      </c>
      <c r="H6" s="78" t="s">
        <v>102</v>
      </c>
      <c r="I6" s="78"/>
      <c r="J6" s="77" t="s">
        <v>94</v>
      </c>
      <c r="K6" s="78" t="s">
        <v>564</v>
      </c>
      <c r="L6" s="78" t="s">
        <v>446</v>
      </c>
      <c r="M6" s="78">
        <v>0.4513182675335069</v>
      </c>
      <c r="N6" s="78">
        <v>1.184870399061018</v>
      </c>
      <c r="O6" s="77">
        <f t="shared" si="0"/>
        <v>0.2036881786094461</v>
      </c>
      <c r="P6" s="77">
        <f t="shared" si="0"/>
        <v>1.4039178625710163</v>
      </c>
      <c r="Q6" s="77" t="s">
        <v>87</v>
      </c>
      <c r="R6" s="77" t="s">
        <v>797</v>
      </c>
      <c r="S6" s="77" t="s">
        <v>95</v>
      </c>
      <c r="T6">
        <v>0.956</v>
      </c>
      <c r="U6" s="78">
        <v>10</v>
      </c>
      <c r="V6" s="77">
        <f t="shared" si="1"/>
        <v>9</v>
      </c>
    </row>
    <row r="7" spans="1:22" ht="76.5">
      <c r="A7" s="79" t="s">
        <v>338</v>
      </c>
      <c r="B7" s="79" t="s">
        <v>339</v>
      </c>
      <c r="C7" s="79">
        <v>1989</v>
      </c>
      <c r="D7" s="80" t="s">
        <v>1114</v>
      </c>
      <c r="E7" s="80" t="s">
        <v>472</v>
      </c>
      <c r="F7" s="79" t="s">
        <v>340</v>
      </c>
      <c r="G7" s="79"/>
      <c r="H7" s="79" t="s">
        <v>102</v>
      </c>
      <c r="I7" s="79"/>
      <c r="J7" s="79" t="s">
        <v>341</v>
      </c>
      <c r="K7" s="79" t="s">
        <v>564</v>
      </c>
      <c r="L7" s="79" t="s">
        <v>342</v>
      </c>
      <c r="M7" s="81">
        <v>0.2301176754150609</v>
      </c>
      <c r="N7" s="81">
        <v>0.550654547797372</v>
      </c>
      <c r="O7" s="82">
        <f>(M7)^2</f>
        <v>0.05295414453843132</v>
      </c>
      <c r="P7" s="82">
        <f>(N7)^2</f>
        <v>0.30322043100992824</v>
      </c>
      <c r="Q7" s="81" t="s">
        <v>343</v>
      </c>
      <c r="R7" s="81" t="s">
        <v>344</v>
      </c>
      <c r="S7" s="79" t="s">
        <v>345</v>
      </c>
      <c r="T7" s="79">
        <v>0.954</v>
      </c>
      <c r="U7" s="79">
        <v>13</v>
      </c>
      <c r="V7" s="77">
        <f t="shared" si="1"/>
        <v>12</v>
      </c>
    </row>
    <row r="8" spans="1:22" ht="191.25">
      <c r="A8" s="84" t="s">
        <v>346</v>
      </c>
      <c r="B8" s="85"/>
      <c r="C8" s="79">
        <v>1996</v>
      </c>
      <c r="D8" s="86" t="s">
        <v>347</v>
      </c>
      <c r="E8" s="80" t="s">
        <v>473</v>
      </c>
      <c r="F8" s="79" t="s">
        <v>348</v>
      </c>
      <c r="G8" s="79" t="s">
        <v>349</v>
      </c>
      <c r="H8" s="84" t="s">
        <v>350</v>
      </c>
      <c r="I8" s="85"/>
      <c r="J8" s="85"/>
      <c r="K8" s="84" t="s">
        <v>971</v>
      </c>
      <c r="L8" s="85" t="s">
        <v>351</v>
      </c>
      <c r="M8" s="84">
        <v>0.3562160890899011</v>
      </c>
      <c r="N8" s="85"/>
      <c r="O8" s="82">
        <f aca="true" t="shared" si="2" ref="O8:O39">(M8)^2</f>
        <v>0.12688990212650436</v>
      </c>
      <c r="P8" s="82"/>
      <c r="Q8" s="85"/>
      <c r="R8" s="85"/>
      <c r="S8" s="85"/>
      <c r="T8" s="85"/>
      <c r="U8" s="84">
        <v>6</v>
      </c>
      <c r="V8" s="77">
        <f t="shared" si="1"/>
        <v>5</v>
      </c>
    </row>
    <row r="9" spans="1:22" ht="191.25">
      <c r="A9" s="84" t="s">
        <v>346</v>
      </c>
      <c r="B9" s="85"/>
      <c r="C9" s="79">
        <v>1996</v>
      </c>
      <c r="D9" s="86" t="s">
        <v>347</v>
      </c>
      <c r="E9" s="80" t="s">
        <v>473</v>
      </c>
      <c r="F9" s="79" t="s">
        <v>348</v>
      </c>
      <c r="G9" s="79" t="s">
        <v>349</v>
      </c>
      <c r="H9" s="84" t="s">
        <v>350</v>
      </c>
      <c r="I9" s="85"/>
      <c r="J9" s="85"/>
      <c r="K9" s="84" t="s">
        <v>970</v>
      </c>
      <c r="L9" s="85" t="s">
        <v>351</v>
      </c>
      <c r="M9" s="84">
        <v>0.3322938285392855</v>
      </c>
      <c r="N9" s="85"/>
      <c r="O9" s="82">
        <f t="shared" si="2"/>
        <v>0.11041918848529608</v>
      </c>
      <c r="P9" s="82"/>
      <c r="Q9" s="85"/>
      <c r="R9" s="85"/>
      <c r="S9" s="85"/>
      <c r="T9" s="85"/>
      <c r="U9" s="84">
        <v>6</v>
      </c>
      <c r="V9" s="77">
        <f t="shared" si="1"/>
        <v>5</v>
      </c>
    </row>
    <row r="10" spans="1:22" ht="191.25">
      <c r="A10" s="84" t="s">
        <v>346</v>
      </c>
      <c r="B10" s="85"/>
      <c r="C10" s="79">
        <v>1996</v>
      </c>
      <c r="D10" s="86" t="s">
        <v>347</v>
      </c>
      <c r="E10" s="80" t="s">
        <v>473</v>
      </c>
      <c r="F10" s="79" t="s">
        <v>348</v>
      </c>
      <c r="G10" s="79" t="s">
        <v>349</v>
      </c>
      <c r="H10" s="84" t="s">
        <v>350</v>
      </c>
      <c r="I10" s="85"/>
      <c r="J10" s="85"/>
      <c r="K10" s="84" t="s">
        <v>1129</v>
      </c>
      <c r="L10" s="85" t="s">
        <v>351</v>
      </c>
      <c r="M10" s="84">
        <v>0.18436181711414393</v>
      </c>
      <c r="N10" s="85"/>
      <c r="O10" s="82">
        <f t="shared" si="2"/>
        <v>0.03398927960962905</v>
      </c>
      <c r="P10" s="82"/>
      <c r="Q10" s="85"/>
      <c r="R10" s="85"/>
      <c r="S10" s="85"/>
      <c r="T10" s="85"/>
      <c r="U10" s="84">
        <v>6</v>
      </c>
      <c r="V10" s="77">
        <f t="shared" si="1"/>
        <v>5</v>
      </c>
    </row>
    <row r="11" spans="1:22" ht="12.75">
      <c r="A11" s="85" t="s">
        <v>1055</v>
      </c>
      <c r="B11" s="85"/>
      <c r="C11" s="85">
        <v>1993</v>
      </c>
      <c r="D11" s="87" t="s">
        <v>431</v>
      </c>
      <c r="E11" s="87" t="s">
        <v>472</v>
      </c>
      <c r="F11" s="85" t="s">
        <v>856</v>
      </c>
      <c r="G11" s="85"/>
      <c r="H11" s="85" t="s">
        <v>102</v>
      </c>
      <c r="I11" s="85" t="s">
        <v>457</v>
      </c>
      <c r="J11" s="85" t="s">
        <v>94</v>
      </c>
      <c r="K11" s="85" t="s">
        <v>971</v>
      </c>
      <c r="L11" s="85" t="s">
        <v>851</v>
      </c>
      <c r="M11" s="85">
        <v>0.09254650016411742</v>
      </c>
      <c r="N11" s="85">
        <v>0.2185115177030926</v>
      </c>
      <c r="O11" s="82">
        <f t="shared" si="2"/>
        <v>0.008564854692626985</v>
      </c>
      <c r="P11" s="82">
        <f aca="true" t="shared" si="3" ref="P11:P42">(N11)^2</f>
        <v>0.047747283368908953</v>
      </c>
      <c r="Q11" s="85" t="s">
        <v>87</v>
      </c>
      <c r="R11" s="85"/>
      <c r="S11" s="85" t="s">
        <v>95</v>
      </c>
      <c r="T11" s="85">
        <v>0.9822</v>
      </c>
      <c r="U11" s="85">
        <v>7</v>
      </c>
      <c r="V11" s="77">
        <f t="shared" si="1"/>
        <v>6</v>
      </c>
    </row>
    <row r="12" spans="1:22" ht="12.75">
      <c r="A12" s="83" t="s">
        <v>1055</v>
      </c>
      <c r="B12" s="83"/>
      <c r="C12" s="88">
        <v>1993</v>
      </c>
      <c r="D12" s="89" t="s">
        <v>431</v>
      </c>
      <c r="E12" s="89" t="s">
        <v>472</v>
      </c>
      <c r="F12" s="85" t="s">
        <v>856</v>
      </c>
      <c r="G12" s="83"/>
      <c r="H12" s="83" t="s">
        <v>102</v>
      </c>
      <c r="I12" s="83" t="s">
        <v>457</v>
      </c>
      <c r="J12" s="83" t="s">
        <v>94</v>
      </c>
      <c r="K12" s="83" t="s">
        <v>970</v>
      </c>
      <c r="L12" s="83" t="s">
        <v>850</v>
      </c>
      <c r="M12" s="83">
        <v>1.069676873278055</v>
      </c>
      <c r="N12" s="83">
        <v>0.6850170174398632</v>
      </c>
      <c r="O12" s="82">
        <f t="shared" si="2"/>
        <v>1.1442086132259162</v>
      </c>
      <c r="P12" s="82">
        <f t="shared" si="3"/>
        <v>0.46924831418220586</v>
      </c>
      <c r="Q12" s="83" t="s">
        <v>87</v>
      </c>
      <c r="R12" s="83"/>
      <c r="S12" s="83" t="s">
        <v>862</v>
      </c>
      <c r="T12" s="83">
        <v>0.9665</v>
      </c>
      <c r="U12" s="83">
        <v>20</v>
      </c>
      <c r="V12" s="77">
        <f t="shared" si="1"/>
        <v>19</v>
      </c>
    </row>
    <row r="13" spans="1:22" ht="12.75">
      <c r="A13" s="83" t="s">
        <v>1055</v>
      </c>
      <c r="B13" s="83"/>
      <c r="C13" s="88">
        <v>1993</v>
      </c>
      <c r="D13" s="89" t="s">
        <v>431</v>
      </c>
      <c r="E13" s="89" t="s">
        <v>472</v>
      </c>
      <c r="F13" s="83" t="s">
        <v>856</v>
      </c>
      <c r="G13" s="83"/>
      <c r="H13" s="83" t="s">
        <v>102</v>
      </c>
      <c r="I13" s="83" t="s">
        <v>457</v>
      </c>
      <c r="J13" s="83" t="s">
        <v>94</v>
      </c>
      <c r="K13" s="83" t="s">
        <v>1129</v>
      </c>
      <c r="L13" s="83" t="s">
        <v>852</v>
      </c>
      <c r="M13" s="83">
        <v>0.5677498789803554</v>
      </c>
      <c r="N13" s="83">
        <v>1.4427990148786045</v>
      </c>
      <c r="O13" s="82">
        <f t="shared" si="2"/>
        <v>0.32233992508220827</v>
      </c>
      <c r="P13" s="82">
        <f t="shared" si="3"/>
        <v>2.081668997334672</v>
      </c>
      <c r="Q13" s="83" t="s">
        <v>87</v>
      </c>
      <c r="R13" s="83"/>
      <c r="S13" s="83" t="s">
        <v>95</v>
      </c>
      <c r="T13" s="83">
        <v>0.9356</v>
      </c>
      <c r="U13" s="83">
        <v>7</v>
      </c>
      <c r="V13" s="77">
        <f t="shared" si="1"/>
        <v>6</v>
      </c>
    </row>
    <row r="14" spans="1:22" ht="12.75">
      <c r="A14" s="83" t="s">
        <v>123</v>
      </c>
      <c r="B14" s="83"/>
      <c r="C14" s="90">
        <v>1991</v>
      </c>
      <c r="D14" s="89" t="s">
        <v>857</v>
      </c>
      <c r="E14" s="89" t="s">
        <v>472</v>
      </c>
      <c r="F14" s="83" t="s">
        <v>352</v>
      </c>
      <c r="G14" s="83"/>
      <c r="H14" s="83" t="s">
        <v>102</v>
      </c>
      <c r="I14" s="83" t="s">
        <v>457</v>
      </c>
      <c r="J14" s="83" t="s">
        <v>94</v>
      </c>
      <c r="K14" s="83" t="s">
        <v>564</v>
      </c>
      <c r="L14" s="83" t="s">
        <v>113</v>
      </c>
      <c r="M14" s="83">
        <v>0.11972195861579785</v>
      </c>
      <c r="N14" s="83">
        <v>0.2703817721564175</v>
      </c>
      <c r="O14" s="82">
        <f t="shared" si="2"/>
        <v>0.014333347374802812</v>
      </c>
      <c r="P14" s="82">
        <f t="shared" si="3"/>
        <v>0.07310630271444488</v>
      </c>
      <c r="Q14" s="83" t="s">
        <v>1124</v>
      </c>
      <c r="R14" s="83"/>
      <c r="S14" s="83" t="s">
        <v>95</v>
      </c>
      <c r="T14" s="83">
        <v>0.97</v>
      </c>
      <c r="U14" s="83">
        <v>12</v>
      </c>
      <c r="V14" s="77">
        <f t="shared" si="1"/>
        <v>11</v>
      </c>
    </row>
    <row r="15" spans="1:22" ht="12.75">
      <c r="A15" s="83" t="s">
        <v>123</v>
      </c>
      <c r="B15" s="83"/>
      <c r="C15" s="88">
        <v>1999</v>
      </c>
      <c r="D15" s="89" t="s">
        <v>439</v>
      </c>
      <c r="E15" s="89" t="s">
        <v>472</v>
      </c>
      <c r="F15" s="83" t="s">
        <v>352</v>
      </c>
      <c r="G15" s="83"/>
      <c r="H15" s="83" t="s">
        <v>102</v>
      </c>
      <c r="I15" s="83" t="s">
        <v>457</v>
      </c>
      <c r="J15" s="83" t="s">
        <v>94</v>
      </c>
      <c r="K15" s="83" t="s">
        <v>564</v>
      </c>
      <c r="L15" s="83" t="s">
        <v>114</v>
      </c>
      <c r="M15" s="83">
        <v>0.21111493940646014</v>
      </c>
      <c r="N15" s="83">
        <v>0.5045249791095128</v>
      </c>
      <c r="O15" s="82">
        <f t="shared" si="2"/>
        <v>0.04456951764059334</v>
      </c>
      <c r="P15" s="82">
        <f t="shared" si="3"/>
        <v>0.2545454545454543</v>
      </c>
      <c r="Q15" s="83" t="s">
        <v>1124</v>
      </c>
      <c r="R15" s="83"/>
      <c r="S15" s="83" t="s">
        <v>95</v>
      </c>
      <c r="T15" s="83">
        <v>0.9615</v>
      </c>
      <c r="U15" s="83">
        <v>12</v>
      </c>
      <c r="V15" s="77">
        <f t="shared" si="1"/>
        <v>11</v>
      </c>
    </row>
    <row r="16" spans="1:22" ht="12.75">
      <c r="A16" s="83" t="s">
        <v>123</v>
      </c>
      <c r="B16" s="83"/>
      <c r="C16" s="90">
        <v>1999</v>
      </c>
      <c r="D16" s="89" t="s">
        <v>353</v>
      </c>
      <c r="E16" s="89" t="s">
        <v>472</v>
      </c>
      <c r="F16" s="83" t="s">
        <v>352</v>
      </c>
      <c r="G16" s="83"/>
      <c r="H16" s="83" t="s">
        <v>102</v>
      </c>
      <c r="I16" s="83" t="s">
        <v>457</v>
      </c>
      <c r="J16" s="83" t="s">
        <v>94</v>
      </c>
      <c r="K16" s="83" t="s">
        <v>564</v>
      </c>
      <c r="L16" s="83" t="s">
        <v>115</v>
      </c>
      <c r="M16" s="83">
        <v>0.322</v>
      </c>
      <c r="N16" s="83">
        <v>0.48193848164647746</v>
      </c>
      <c r="O16" s="82">
        <f t="shared" si="2"/>
        <v>0.10368400000000001</v>
      </c>
      <c r="P16" s="82">
        <f t="shared" si="3"/>
        <v>0.2322647000917121</v>
      </c>
      <c r="Q16" s="83"/>
      <c r="R16" s="83" t="s">
        <v>1133</v>
      </c>
      <c r="S16" s="83" t="s">
        <v>95</v>
      </c>
      <c r="T16" s="83">
        <v>0.9404</v>
      </c>
      <c r="U16" s="83">
        <v>12</v>
      </c>
      <c r="V16" s="77">
        <f t="shared" si="1"/>
        <v>11</v>
      </c>
    </row>
    <row r="17" spans="1:22" ht="12.75">
      <c r="A17" s="83" t="s">
        <v>123</v>
      </c>
      <c r="B17" s="83"/>
      <c r="C17" s="91">
        <v>1999</v>
      </c>
      <c r="D17" s="89" t="s">
        <v>858</v>
      </c>
      <c r="E17" s="89" t="s">
        <v>472</v>
      </c>
      <c r="F17" s="83" t="s">
        <v>352</v>
      </c>
      <c r="G17" s="83"/>
      <c r="H17" s="83" t="s">
        <v>102</v>
      </c>
      <c r="I17" s="83" t="s">
        <v>457</v>
      </c>
      <c r="J17" s="83" t="s">
        <v>94</v>
      </c>
      <c r="K17" s="83" t="s">
        <v>564</v>
      </c>
      <c r="L17" s="83" t="s">
        <v>116</v>
      </c>
      <c r="M17" s="83">
        <v>0.2008747476738738</v>
      </c>
      <c r="N17" s="83">
        <v>0.4662799642431889</v>
      </c>
      <c r="O17" s="82">
        <f t="shared" si="2"/>
        <v>0.04035066425304247</v>
      </c>
      <c r="P17" s="82">
        <f t="shared" si="3"/>
        <v>0.21741700505462952</v>
      </c>
      <c r="Q17" s="83" t="s">
        <v>1124</v>
      </c>
      <c r="R17" s="83"/>
      <c r="S17" s="83" t="s">
        <v>95</v>
      </c>
      <c r="T17" s="83">
        <v>0.9665</v>
      </c>
      <c r="U17" s="83">
        <v>12</v>
      </c>
      <c r="V17" s="77">
        <f t="shared" si="1"/>
        <v>11</v>
      </c>
    </row>
    <row r="18" spans="1:22" ht="12.75">
      <c r="A18" s="83" t="s">
        <v>123</v>
      </c>
      <c r="B18" s="83"/>
      <c r="C18" s="83">
        <v>1999</v>
      </c>
      <c r="D18" s="89" t="s">
        <v>857</v>
      </c>
      <c r="E18" s="89" t="s">
        <v>472</v>
      </c>
      <c r="F18" s="83" t="s">
        <v>352</v>
      </c>
      <c r="G18" s="83"/>
      <c r="H18" s="83" t="s">
        <v>102</v>
      </c>
      <c r="I18" s="83" t="s">
        <v>457</v>
      </c>
      <c r="J18" s="83" t="s">
        <v>94</v>
      </c>
      <c r="K18" s="83" t="s">
        <v>564</v>
      </c>
      <c r="L18" s="83" t="s">
        <v>118</v>
      </c>
      <c r="M18" s="83">
        <v>0.13397114923318815</v>
      </c>
      <c r="N18" s="83">
        <v>0.31630595085368607</v>
      </c>
      <c r="O18" s="82">
        <f t="shared" si="2"/>
        <v>0.01794826882686117</v>
      </c>
      <c r="P18" s="82">
        <f t="shared" si="3"/>
        <v>0.10004945454545447</v>
      </c>
      <c r="Q18" s="83" t="s">
        <v>1124</v>
      </c>
      <c r="R18" s="83"/>
      <c r="S18" s="83" t="s">
        <v>95</v>
      </c>
      <c r="T18" s="83">
        <v>0.9169</v>
      </c>
      <c r="U18" s="83">
        <v>12</v>
      </c>
      <c r="V18" s="77">
        <f t="shared" si="1"/>
        <v>11</v>
      </c>
    </row>
    <row r="19" spans="1:22" ht="12.75">
      <c r="A19" s="83" t="s">
        <v>123</v>
      </c>
      <c r="B19" s="83"/>
      <c r="C19" s="83">
        <v>1999</v>
      </c>
      <c r="D19" s="89" t="s">
        <v>860</v>
      </c>
      <c r="E19" s="89" t="s">
        <v>472</v>
      </c>
      <c r="F19" s="85" t="s">
        <v>352</v>
      </c>
      <c r="G19" s="83"/>
      <c r="H19" s="83" t="s">
        <v>102</v>
      </c>
      <c r="I19" s="83" t="s">
        <v>457</v>
      </c>
      <c r="J19" s="83" t="s">
        <v>94</v>
      </c>
      <c r="K19" s="83" t="s">
        <v>564</v>
      </c>
      <c r="L19" s="83" t="s">
        <v>117</v>
      </c>
      <c r="M19" s="83">
        <v>0.30520778065464765</v>
      </c>
      <c r="N19" s="83">
        <v>0.4473332381324361</v>
      </c>
      <c r="O19" s="82">
        <f t="shared" si="2"/>
        <v>0.09315178937213552</v>
      </c>
      <c r="P19" s="82">
        <f t="shared" si="3"/>
        <v>0.20010702593805077</v>
      </c>
      <c r="Q19" s="83" t="s">
        <v>1124</v>
      </c>
      <c r="R19" s="83"/>
      <c r="S19" s="83" t="s">
        <v>107</v>
      </c>
      <c r="T19" s="83">
        <v>0.9671</v>
      </c>
      <c r="U19" s="83">
        <v>12</v>
      </c>
      <c r="V19" s="77">
        <f t="shared" si="1"/>
        <v>11</v>
      </c>
    </row>
    <row r="20" spans="1:22" ht="12.75">
      <c r="A20" s="83" t="s">
        <v>123</v>
      </c>
      <c r="B20" s="83"/>
      <c r="C20" s="83">
        <v>1999</v>
      </c>
      <c r="D20" s="89" t="s">
        <v>820</v>
      </c>
      <c r="E20" s="89" t="s">
        <v>472</v>
      </c>
      <c r="F20" s="83" t="s">
        <v>352</v>
      </c>
      <c r="G20" s="83"/>
      <c r="H20" s="83" t="s">
        <v>102</v>
      </c>
      <c r="I20" s="83" t="s">
        <v>457</v>
      </c>
      <c r="J20" s="83" t="s">
        <v>94</v>
      </c>
      <c r="K20" s="83" t="s">
        <v>564</v>
      </c>
      <c r="L20" s="83" t="s">
        <v>119</v>
      </c>
      <c r="M20" s="83">
        <v>0.1800603330631727</v>
      </c>
      <c r="N20" s="83">
        <v>0.44945776268295135</v>
      </c>
      <c r="O20" s="82">
        <f t="shared" si="2"/>
        <v>0.032421723542820684</v>
      </c>
      <c r="P20" s="82">
        <f t="shared" si="3"/>
        <v>0.2020122804359642</v>
      </c>
      <c r="Q20" s="83" t="s">
        <v>1124</v>
      </c>
      <c r="R20" s="83"/>
      <c r="S20" s="83" t="s">
        <v>95</v>
      </c>
      <c r="T20" s="83">
        <v>0.9298</v>
      </c>
      <c r="U20" s="83">
        <v>12</v>
      </c>
      <c r="V20" s="77">
        <f t="shared" si="1"/>
        <v>11</v>
      </c>
    </row>
    <row r="21" spans="1:22" ht="12.75">
      <c r="A21" s="83" t="s">
        <v>123</v>
      </c>
      <c r="B21" s="83"/>
      <c r="C21" s="91">
        <v>1999</v>
      </c>
      <c r="D21" s="89" t="s">
        <v>1114</v>
      </c>
      <c r="E21" s="89" t="s">
        <v>472</v>
      </c>
      <c r="F21" s="83" t="s">
        <v>352</v>
      </c>
      <c r="G21" s="83"/>
      <c r="H21" s="83" t="s">
        <v>102</v>
      </c>
      <c r="I21" s="83" t="s">
        <v>457</v>
      </c>
      <c r="J21" s="83" t="s">
        <v>94</v>
      </c>
      <c r="K21" s="83" t="s">
        <v>564</v>
      </c>
      <c r="L21" s="83" t="s">
        <v>120</v>
      </c>
      <c r="M21" s="83">
        <v>0.18850767298297777</v>
      </c>
      <c r="N21" s="83">
        <v>0.43355189064001304</v>
      </c>
      <c r="O21" s="82">
        <f t="shared" si="2"/>
        <v>0.03553514277345729</v>
      </c>
      <c r="P21" s="82">
        <f t="shared" si="3"/>
        <v>0.18796724187752983</v>
      </c>
      <c r="Q21" s="83" t="s">
        <v>1124</v>
      </c>
      <c r="R21" s="83"/>
      <c r="S21" s="83" t="s">
        <v>95</v>
      </c>
      <c r="T21" s="83">
        <v>0.983</v>
      </c>
      <c r="U21" s="83">
        <v>12</v>
      </c>
      <c r="V21" s="77">
        <f t="shared" si="1"/>
        <v>11</v>
      </c>
    </row>
    <row r="22" spans="1:22" ht="12.75">
      <c r="A22" s="83" t="s">
        <v>1072</v>
      </c>
      <c r="B22" s="83"/>
      <c r="C22" s="92">
        <v>1997</v>
      </c>
      <c r="D22" s="89" t="s">
        <v>820</v>
      </c>
      <c r="E22" s="89" t="s">
        <v>472</v>
      </c>
      <c r="F22" s="83" t="s">
        <v>819</v>
      </c>
      <c r="G22" s="83"/>
      <c r="H22" s="83" t="s">
        <v>102</v>
      </c>
      <c r="I22" s="83" t="s">
        <v>457</v>
      </c>
      <c r="J22" s="83" t="s">
        <v>94</v>
      </c>
      <c r="K22" s="83" t="s">
        <v>564</v>
      </c>
      <c r="L22" s="83" t="s">
        <v>44</v>
      </c>
      <c r="M22" s="83">
        <v>0.23082075758706694</v>
      </c>
      <c r="N22" s="83">
        <v>0.689534700372755</v>
      </c>
      <c r="O22" s="82">
        <f t="shared" si="2"/>
        <v>0.05327822213306752</v>
      </c>
      <c r="P22" s="82">
        <f t="shared" si="3"/>
        <v>0.475458103018145</v>
      </c>
      <c r="Q22" s="83" t="s">
        <v>815</v>
      </c>
      <c r="R22" s="83"/>
      <c r="S22" s="83" t="s">
        <v>95</v>
      </c>
      <c r="T22" s="83">
        <v>0.8658</v>
      </c>
      <c r="U22" s="83">
        <v>10</v>
      </c>
      <c r="V22" s="77">
        <f t="shared" si="1"/>
        <v>9</v>
      </c>
    </row>
    <row r="23" spans="1:22" ht="12.75">
      <c r="A23" s="83" t="s">
        <v>1108</v>
      </c>
      <c r="B23" s="83"/>
      <c r="C23" s="83">
        <v>1987</v>
      </c>
      <c r="D23" s="89" t="s">
        <v>354</v>
      </c>
      <c r="E23" s="89"/>
      <c r="F23" s="83" t="s">
        <v>813</v>
      </c>
      <c r="G23" s="83" t="s">
        <v>806</v>
      </c>
      <c r="H23" s="83" t="s">
        <v>570</v>
      </c>
      <c r="I23" s="83" t="s">
        <v>458</v>
      </c>
      <c r="J23" s="83" t="s">
        <v>94</v>
      </c>
      <c r="K23" s="83" t="s">
        <v>564</v>
      </c>
      <c r="L23" s="83" t="s">
        <v>807</v>
      </c>
      <c r="M23" s="83">
        <v>0.22490555754446648</v>
      </c>
      <c r="N23" s="83">
        <v>0.4741933192916818</v>
      </c>
      <c r="O23" s="82">
        <f t="shared" si="2"/>
        <v>0.05058250981438732</v>
      </c>
      <c r="P23" s="82">
        <f t="shared" si="3"/>
        <v>0.22485930406086288</v>
      </c>
      <c r="Q23" s="83" t="s">
        <v>812</v>
      </c>
      <c r="R23" s="83"/>
      <c r="S23" s="83" t="s">
        <v>811</v>
      </c>
      <c r="T23" s="83">
        <v>0.9212</v>
      </c>
      <c r="U23" s="83">
        <v>6</v>
      </c>
      <c r="V23" s="77">
        <f t="shared" si="1"/>
        <v>5</v>
      </c>
    </row>
    <row r="24" spans="1:22" ht="12.75">
      <c r="A24" s="83" t="s">
        <v>1108</v>
      </c>
      <c r="B24" s="83"/>
      <c r="C24" s="92">
        <v>1987</v>
      </c>
      <c r="D24" s="89" t="s">
        <v>354</v>
      </c>
      <c r="E24" s="89"/>
      <c r="F24" s="85" t="s">
        <v>814</v>
      </c>
      <c r="G24" s="83" t="s">
        <v>806</v>
      </c>
      <c r="H24" s="83" t="s">
        <v>570</v>
      </c>
      <c r="I24" s="83" t="s">
        <v>458</v>
      </c>
      <c r="J24" s="83" t="s">
        <v>94</v>
      </c>
      <c r="K24" s="83" t="s">
        <v>564</v>
      </c>
      <c r="L24" s="83" t="s">
        <v>808</v>
      </c>
      <c r="M24" s="83">
        <v>0.21722772823200567</v>
      </c>
      <c r="N24" s="83">
        <v>0.5527089872028199</v>
      </c>
      <c r="O24" s="82">
        <f t="shared" si="2"/>
        <v>0.047187885912838116</v>
      </c>
      <c r="P24" s="82">
        <f t="shared" si="3"/>
        <v>0.30548722453476695</v>
      </c>
      <c r="Q24" s="83" t="s">
        <v>812</v>
      </c>
      <c r="R24" s="83"/>
      <c r="S24" s="83" t="s">
        <v>95</v>
      </c>
      <c r="T24" s="83">
        <v>0.9121</v>
      </c>
      <c r="U24" s="83">
        <v>6</v>
      </c>
      <c r="V24" s="77">
        <f t="shared" si="1"/>
        <v>5</v>
      </c>
    </row>
    <row r="25" spans="1:22" ht="12.75">
      <c r="A25" s="83" t="s">
        <v>522</v>
      </c>
      <c r="B25" s="83"/>
      <c r="C25" s="83">
        <v>2000</v>
      </c>
      <c r="D25" s="89" t="s">
        <v>561</v>
      </c>
      <c r="E25" s="89" t="s">
        <v>473</v>
      </c>
      <c r="F25" s="83" t="s">
        <v>523</v>
      </c>
      <c r="G25" s="83" t="s">
        <v>572</v>
      </c>
      <c r="H25" s="83" t="s">
        <v>102</v>
      </c>
      <c r="I25" s="83" t="s">
        <v>457</v>
      </c>
      <c r="J25" s="83" t="s">
        <v>94</v>
      </c>
      <c r="K25" s="83" t="s">
        <v>564</v>
      </c>
      <c r="L25" s="83" t="s">
        <v>525</v>
      </c>
      <c r="M25" s="83">
        <v>0.13152307363638638</v>
      </c>
      <c r="N25" s="83">
        <v>0.29944666772702944</v>
      </c>
      <c r="O25" s="82">
        <f t="shared" si="2"/>
        <v>0.017298318898762315</v>
      </c>
      <c r="P25" s="82">
        <f t="shared" si="3"/>
        <v>0.08966830681282197</v>
      </c>
      <c r="Q25" s="83" t="s">
        <v>87</v>
      </c>
      <c r="R25" s="83" t="s">
        <v>797</v>
      </c>
      <c r="S25" s="83" t="s">
        <v>95</v>
      </c>
      <c r="T25" s="83">
        <v>0.9737</v>
      </c>
      <c r="U25" s="83">
        <v>20</v>
      </c>
      <c r="V25" s="77">
        <f t="shared" si="1"/>
        <v>19</v>
      </c>
    </row>
    <row r="26" spans="1:22" ht="12.75">
      <c r="A26" s="83" t="s">
        <v>522</v>
      </c>
      <c r="B26" s="83"/>
      <c r="C26" s="93">
        <v>2000</v>
      </c>
      <c r="D26" s="89" t="s">
        <v>561</v>
      </c>
      <c r="E26" s="89" t="s">
        <v>473</v>
      </c>
      <c r="F26" s="83" t="s">
        <v>523</v>
      </c>
      <c r="G26" s="83" t="s">
        <v>572</v>
      </c>
      <c r="H26" s="83" t="s">
        <v>102</v>
      </c>
      <c r="I26" s="83" t="s">
        <v>457</v>
      </c>
      <c r="J26" s="83" t="s">
        <v>94</v>
      </c>
      <c r="K26" s="83" t="s">
        <v>564</v>
      </c>
      <c r="L26" s="83" t="s">
        <v>524</v>
      </c>
      <c r="M26" s="83">
        <v>0.17542154567508544</v>
      </c>
      <c r="N26" s="83">
        <v>0.39660559002986295</v>
      </c>
      <c r="O26" s="82">
        <f t="shared" si="2"/>
        <v>0.03077271868703609</v>
      </c>
      <c r="P26" s="82">
        <f t="shared" si="3"/>
        <v>0.15729599404293573</v>
      </c>
      <c r="Q26" s="83" t="s">
        <v>87</v>
      </c>
      <c r="R26" s="83" t="s">
        <v>797</v>
      </c>
      <c r="S26" s="83" t="s">
        <v>95</v>
      </c>
      <c r="T26" s="83">
        <v>0.9682</v>
      </c>
      <c r="U26" s="83">
        <v>20</v>
      </c>
      <c r="V26" s="77">
        <f t="shared" si="1"/>
        <v>19</v>
      </c>
    </row>
    <row r="27" spans="1:22" ht="12.75">
      <c r="A27" s="83" t="s">
        <v>522</v>
      </c>
      <c r="B27" s="83"/>
      <c r="C27" s="92">
        <v>2000</v>
      </c>
      <c r="D27" s="89" t="s">
        <v>561</v>
      </c>
      <c r="E27" s="89" t="s">
        <v>473</v>
      </c>
      <c r="F27" s="83" t="s">
        <v>523</v>
      </c>
      <c r="G27" s="83" t="s">
        <v>572</v>
      </c>
      <c r="H27" s="83" t="s">
        <v>102</v>
      </c>
      <c r="I27" s="83" t="s">
        <v>457</v>
      </c>
      <c r="J27" s="83" t="s">
        <v>94</v>
      </c>
      <c r="K27" s="83" t="s">
        <v>564</v>
      </c>
      <c r="L27" s="83" t="s">
        <v>526</v>
      </c>
      <c r="M27" s="83">
        <v>0.2498352991639804</v>
      </c>
      <c r="N27" s="83">
        <v>0.5052732467309937</v>
      </c>
      <c r="O27" s="82">
        <f t="shared" si="2"/>
        <v>0.06241767670835558</v>
      </c>
      <c r="P27" s="82">
        <f t="shared" si="3"/>
        <v>0.25530105386207963</v>
      </c>
      <c r="Q27" s="83" t="s">
        <v>87</v>
      </c>
      <c r="R27" s="83" t="s">
        <v>797</v>
      </c>
      <c r="S27" s="83" t="s">
        <v>95</v>
      </c>
      <c r="T27" s="83">
        <v>0.9573</v>
      </c>
      <c r="U27" s="83">
        <v>20</v>
      </c>
      <c r="V27" s="77">
        <f t="shared" si="1"/>
        <v>19</v>
      </c>
    </row>
    <row r="28" spans="1:22" ht="153">
      <c r="A28" s="92" t="s">
        <v>355</v>
      </c>
      <c r="B28" s="92" t="s">
        <v>339</v>
      </c>
      <c r="C28" s="92">
        <v>1990</v>
      </c>
      <c r="D28" s="94" t="s">
        <v>675</v>
      </c>
      <c r="E28" s="94" t="s">
        <v>472</v>
      </c>
      <c r="F28" s="92" t="s">
        <v>356</v>
      </c>
      <c r="G28" s="92" t="s">
        <v>357</v>
      </c>
      <c r="H28" s="92" t="s">
        <v>102</v>
      </c>
      <c r="I28" s="92"/>
      <c r="J28" s="92" t="s">
        <v>358</v>
      </c>
      <c r="K28" s="92" t="s">
        <v>564</v>
      </c>
      <c r="L28" s="92" t="s">
        <v>359</v>
      </c>
      <c r="M28" s="95">
        <v>0.25523823929408485</v>
      </c>
      <c r="N28" s="95">
        <v>0.5325617286060448</v>
      </c>
      <c r="O28" s="82">
        <f t="shared" si="2"/>
        <v>0.06514655879794452</v>
      </c>
      <c r="P28" s="82">
        <f t="shared" si="3"/>
        <v>0.2836219947758585</v>
      </c>
      <c r="Q28" s="95" t="s">
        <v>620</v>
      </c>
      <c r="R28" s="95" t="s">
        <v>344</v>
      </c>
      <c r="S28" s="92" t="s">
        <v>345</v>
      </c>
      <c r="T28" s="92"/>
      <c r="U28" s="92">
        <v>31</v>
      </c>
      <c r="V28" s="77">
        <f t="shared" si="1"/>
        <v>30</v>
      </c>
    </row>
    <row r="29" spans="1:22" ht="153">
      <c r="A29" s="92" t="s">
        <v>355</v>
      </c>
      <c r="B29" s="92" t="s">
        <v>339</v>
      </c>
      <c r="C29" s="92">
        <v>1990</v>
      </c>
      <c r="D29" s="94" t="s">
        <v>675</v>
      </c>
      <c r="E29" s="94" t="s">
        <v>472</v>
      </c>
      <c r="F29" s="92" t="s">
        <v>356</v>
      </c>
      <c r="G29" s="92" t="s">
        <v>357</v>
      </c>
      <c r="H29" s="92" t="s">
        <v>102</v>
      </c>
      <c r="I29" s="92"/>
      <c r="J29" s="92" t="s">
        <v>358</v>
      </c>
      <c r="K29" s="92" t="s">
        <v>971</v>
      </c>
      <c r="L29" s="92" t="s">
        <v>360</v>
      </c>
      <c r="M29" s="95">
        <v>0.7092396714759348</v>
      </c>
      <c r="N29" s="95">
        <v>0.22643903274827742</v>
      </c>
      <c r="O29" s="82">
        <f t="shared" si="2"/>
        <v>0.5030209115952919</v>
      </c>
      <c r="P29" s="82">
        <f t="shared" si="3"/>
        <v>0.05127463555197546</v>
      </c>
      <c r="Q29" s="95" t="s">
        <v>361</v>
      </c>
      <c r="R29" s="95" t="s">
        <v>344</v>
      </c>
      <c r="S29" s="92" t="s">
        <v>95</v>
      </c>
      <c r="T29" s="92">
        <v>0.7882</v>
      </c>
      <c r="U29" s="92">
        <v>31</v>
      </c>
      <c r="V29" s="77">
        <f t="shared" si="1"/>
        <v>30</v>
      </c>
    </row>
    <row r="30" spans="1:22" ht="153">
      <c r="A30" s="92" t="s">
        <v>355</v>
      </c>
      <c r="B30" s="92" t="s">
        <v>339</v>
      </c>
      <c r="C30" s="92">
        <v>1990</v>
      </c>
      <c r="D30" s="94" t="s">
        <v>675</v>
      </c>
      <c r="E30" s="94" t="s">
        <v>472</v>
      </c>
      <c r="F30" s="92" t="s">
        <v>356</v>
      </c>
      <c r="G30" s="92" t="s">
        <v>357</v>
      </c>
      <c r="H30" s="92" t="s">
        <v>102</v>
      </c>
      <c r="I30" s="92"/>
      <c r="J30" s="92" t="s">
        <v>358</v>
      </c>
      <c r="K30" s="92" t="s">
        <v>970</v>
      </c>
      <c r="L30" s="92" t="s">
        <v>362</v>
      </c>
      <c r="M30" s="95">
        <v>0.3526640627113511</v>
      </c>
      <c r="N30" s="95">
        <v>0.16560329863276027</v>
      </c>
      <c r="O30" s="82">
        <f t="shared" si="2"/>
        <v>0.12437194112807577</v>
      </c>
      <c r="P30" s="82">
        <f t="shared" si="3"/>
        <v>0.02742445251805118</v>
      </c>
      <c r="Q30" s="95" t="s">
        <v>361</v>
      </c>
      <c r="R30" s="95" t="s">
        <v>344</v>
      </c>
      <c r="S30" s="92" t="s">
        <v>811</v>
      </c>
      <c r="T30" s="92">
        <v>0.94</v>
      </c>
      <c r="U30" s="92">
        <v>31</v>
      </c>
      <c r="V30" s="77">
        <f t="shared" si="1"/>
        <v>30</v>
      </c>
    </row>
    <row r="31" spans="1:22" ht="153">
      <c r="A31" s="92" t="s">
        <v>355</v>
      </c>
      <c r="B31" s="92" t="s">
        <v>339</v>
      </c>
      <c r="C31" s="92">
        <v>1990</v>
      </c>
      <c r="D31" s="94" t="s">
        <v>675</v>
      </c>
      <c r="E31" s="94" t="s">
        <v>472</v>
      </c>
      <c r="F31" s="92" t="s">
        <v>356</v>
      </c>
      <c r="G31" s="92" t="s">
        <v>357</v>
      </c>
      <c r="H31" s="92" t="s">
        <v>102</v>
      </c>
      <c r="I31" s="92"/>
      <c r="J31" s="92" t="s">
        <v>358</v>
      </c>
      <c r="K31" s="92" t="s">
        <v>1129</v>
      </c>
      <c r="L31" s="92" t="s">
        <v>363</v>
      </c>
      <c r="M31" s="95">
        <v>0.36822894112338367</v>
      </c>
      <c r="N31" s="95">
        <v>0.19139576812531756</v>
      </c>
      <c r="O31" s="82">
        <f t="shared" si="2"/>
        <v>0.13559255308084836</v>
      </c>
      <c r="P31" s="82">
        <f t="shared" si="3"/>
        <v>0.03663234005628033</v>
      </c>
      <c r="Q31" s="95" t="s">
        <v>361</v>
      </c>
      <c r="R31" s="95" t="s">
        <v>344</v>
      </c>
      <c r="S31" s="92" t="s">
        <v>95</v>
      </c>
      <c r="T31" s="92">
        <v>0.94</v>
      </c>
      <c r="U31" s="92">
        <v>31</v>
      </c>
      <c r="V31" s="77">
        <f t="shared" si="1"/>
        <v>30</v>
      </c>
    </row>
    <row r="32" spans="1:22" ht="12.75">
      <c r="A32" s="83" t="s">
        <v>725</v>
      </c>
      <c r="B32" s="83"/>
      <c r="C32" s="92">
        <v>1997</v>
      </c>
      <c r="D32" s="89" t="s">
        <v>820</v>
      </c>
      <c r="E32" s="89" t="s">
        <v>472</v>
      </c>
      <c r="F32" s="83" t="s">
        <v>727</v>
      </c>
      <c r="G32" s="83"/>
      <c r="H32" s="83" t="s">
        <v>102</v>
      </c>
      <c r="I32" s="83" t="s">
        <v>457</v>
      </c>
      <c r="J32" s="83"/>
      <c r="K32" s="83" t="s">
        <v>564</v>
      </c>
      <c r="L32" s="83" t="s">
        <v>562</v>
      </c>
      <c r="M32" s="83">
        <v>0.3791967641517786</v>
      </c>
      <c r="N32" s="83">
        <v>0.7047278168117416</v>
      </c>
      <c r="O32" s="82">
        <f t="shared" si="2"/>
        <v>0.1437901859431796</v>
      </c>
      <c r="P32" s="82">
        <f t="shared" si="3"/>
        <v>0.49664129578824356</v>
      </c>
      <c r="Q32" s="83" t="s">
        <v>87</v>
      </c>
      <c r="R32" s="83" t="s">
        <v>797</v>
      </c>
      <c r="S32" s="83" t="s">
        <v>95</v>
      </c>
      <c r="T32" s="83">
        <v>0.908</v>
      </c>
      <c r="U32" s="83">
        <v>13</v>
      </c>
      <c r="V32" s="77">
        <f t="shared" si="1"/>
        <v>12</v>
      </c>
    </row>
    <row r="33" spans="1:22" ht="12.75">
      <c r="A33" s="83" t="s">
        <v>509</v>
      </c>
      <c r="B33" s="83"/>
      <c r="C33" s="92">
        <v>1998</v>
      </c>
      <c r="D33" s="89" t="s">
        <v>431</v>
      </c>
      <c r="E33" s="89" t="s">
        <v>472</v>
      </c>
      <c r="F33" s="83" t="s">
        <v>516</v>
      </c>
      <c r="G33" s="83"/>
      <c r="H33" s="83" t="s">
        <v>102</v>
      </c>
      <c r="I33" s="83" t="s">
        <v>457</v>
      </c>
      <c r="J33" s="83" t="s">
        <v>94</v>
      </c>
      <c r="K33" s="83" t="s">
        <v>971</v>
      </c>
      <c r="L33" s="83" t="s">
        <v>519</v>
      </c>
      <c r="M33" s="83">
        <v>0.2116518572034947</v>
      </c>
      <c r="N33" s="83">
        <v>0.5049544264501747</v>
      </c>
      <c r="O33" s="82">
        <f t="shared" si="2"/>
        <v>0.04479650865768851</v>
      </c>
      <c r="P33" s="82">
        <f t="shared" si="3"/>
        <v>0.25497897279162496</v>
      </c>
      <c r="Q33" s="83" t="s">
        <v>620</v>
      </c>
      <c r="R33" s="83" t="s">
        <v>797</v>
      </c>
      <c r="S33" s="83" t="s">
        <v>95</v>
      </c>
      <c r="T33" s="83">
        <v>0.9455</v>
      </c>
      <c r="U33" s="83">
        <v>8</v>
      </c>
      <c r="V33" s="77">
        <f t="shared" si="1"/>
        <v>7</v>
      </c>
    </row>
    <row r="34" spans="1:22" ht="12.75">
      <c r="A34" s="83" t="s">
        <v>509</v>
      </c>
      <c r="B34" s="83"/>
      <c r="C34" s="92">
        <v>1998</v>
      </c>
      <c r="D34" s="89" t="s">
        <v>431</v>
      </c>
      <c r="E34" s="89" t="s">
        <v>472</v>
      </c>
      <c r="F34" s="83" t="s">
        <v>516</v>
      </c>
      <c r="G34" s="83"/>
      <c r="H34" s="83" t="s">
        <v>102</v>
      </c>
      <c r="I34" s="83" t="s">
        <v>457</v>
      </c>
      <c r="J34" s="83" t="s">
        <v>94</v>
      </c>
      <c r="K34" s="83" t="s">
        <v>970</v>
      </c>
      <c r="L34" s="83" t="s">
        <v>520</v>
      </c>
      <c r="M34" s="83">
        <v>0.46011088468415784</v>
      </c>
      <c r="N34" s="83">
        <v>1.0928860200485544</v>
      </c>
      <c r="O34" s="82">
        <f t="shared" si="2"/>
        <v>0.21170202620483838</v>
      </c>
      <c r="P34" s="82">
        <f t="shared" si="3"/>
        <v>1.1943998528175692</v>
      </c>
      <c r="Q34" s="83" t="s">
        <v>620</v>
      </c>
      <c r="R34" s="83" t="s">
        <v>797</v>
      </c>
      <c r="S34" s="83" t="s">
        <v>95</v>
      </c>
      <c r="T34" s="83">
        <v>0.9245</v>
      </c>
      <c r="U34" s="83">
        <v>8</v>
      </c>
      <c r="V34" s="77">
        <f t="shared" si="1"/>
        <v>7</v>
      </c>
    </row>
    <row r="35" spans="1:22" ht="12.75">
      <c r="A35" s="83" t="s">
        <v>509</v>
      </c>
      <c r="B35" s="83"/>
      <c r="C35" s="92">
        <v>1998</v>
      </c>
      <c r="D35" s="89" t="s">
        <v>431</v>
      </c>
      <c r="E35" s="89" t="s">
        <v>472</v>
      </c>
      <c r="F35" s="83" t="s">
        <v>516</v>
      </c>
      <c r="G35" s="83"/>
      <c r="H35" s="83" t="s">
        <v>102</v>
      </c>
      <c r="I35" s="83" t="s">
        <v>457</v>
      </c>
      <c r="J35" s="83" t="s">
        <v>94</v>
      </c>
      <c r="K35" s="83" t="s">
        <v>1129</v>
      </c>
      <c r="L35" s="83" t="s">
        <v>521</v>
      </c>
      <c r="M35" s="83">
        <v>0.44179685980109007</v>
      </c>
      <c r="N35" s="83">
        <v>0.7840794961422509</v>
      </c>
      <c r="O35" s="82">
        <f t="shared" si="2"/>
        <v>0.19518446533010403</v>
      </c>
      <c r="P35" s="82">
        <f t="shared" si="3"/>
        <v>0.6147806562706861</v>
      </c>
      <c r="Q35" s="83" t="s">
        <v>620</v>
      </c>
      <c r="R35" s="83" t="s">
        <v>797</v>
      </c>
      <c r="S35" s="83" t="s">
        <v>95</v>
      </c>
      <c r="T35" s="83">
        <v>0.932</v>
      </c>
      <c r="U35" s="83">
        <v>8</v>
      </c>
      <c r="V35" s="77">
        <f t="shared" si="1"/>
        <v>7</v>
      </c>
    </row>
    <row r="36" spans="1:22" ht="89.25">
      <c r="A36" s="92" t="s">
        <v>364</v>
      </c>
      <c r="B36" s="92" t="s">
        <v>365</v>
      </c>
      <c r="C36" s="92">
        <v>1991</v>
      </c>
      <c r="D36" s="94" t="s">
        <v>366</v>
      </c>
      <c r="E36" s="94" t="s">
        <v>473</v>
      </c>
      <c r="F36" s="92" t="s">
        <v>367</v>
      </c>
      <c r="G36" s="92" t="s">
        <v>368</v>
      </c>
      <c r="H36" s="92" t="s">
        <v>369</v>
      </c>
      <c r="I36" s="92"/>
      <c r="J36" s="92" t="s">
        <v>358</v>
      </c>
      <c r="K36" s="92" t="s">
        <v>564</v>
      </c>
      <c r="L36" s="92" t="s">
        <v>370</v>
      </c>
      <c r="M36" s="95">
        <v>0.42939145123807687</v>
      </c>
      <c r="N36" s="96">
        <v>0.7725460707953681</v>
      </c>
      <c r="O36" s="82">
        <f t="shared" si="2"/>
        <v>0.18437701839634174</v>
      </c>
      <c r="P36" s="82">
        <f t="shared" si="3"/>
        <v>0.5968274315013619</v>
      </c>
      <c r="Q36" s="95" t="s">
        <v>343</v>
      </c>
      <c r="R36" s="95" t="s">
        <v>344</v>
      </c>
      <c r="S36" s="92" t="s">
        <v>95</v>
      </c>
      <c r="T36" s="92"/>
      <c r="U36" s="92">
        <v>6</v>
      </c>
      <c r="V36" s="77">
        <f t="shared" si="1"/>
        <v>5</v>
      </c>
    </row>
    <row r="37" spans="1:22" ht="12.75">
      <c r="A37" s="83" t="s">
        <v>1111</v>
      </c>
      <c r="B37" s="83"/>
      <c r="C37" s="92">
        <v>1988</v>
      </c>
      <c r="D37" s="89" t="s">
        <v>761</v>
      </c>
      <c r="E37" s="89" t="s">
        <v>472</v>
      </c>
      <c r="F37" s="83" t="s">
        <v>896</v>
      </c>
      <c r="G37" s="83" t="s">
        <v>895</v>
      </c>
      <c r="H37" s="83" t="s">
        <v>897</v>
      </c>
      <c r="I37" s="83" t="s">
        <v>459</v>
      </c>
      <c r="J37" s="83" t="s">
        <v>103</v>
      </c>
      <c r="K37" s="83" t="s">
        <v>1129</v>
      </c>
      <c r="L37" s="83" t="s">
        <v>921</v>
      </c>
      <c r="M37" s="83">
        <v>0.36285053971281683</v>
      </c>
      <c r="N37" s="83">
        <v>1.0050588526113153</v>
      </c>
      <c r="O37" s="82">
        <f t="shared" si="2"/>
        <v>0.13166051416988248</v>
      </c>
      <c r="P37" s="82">
        <f t="shared" si="3"/>
        <v>1.0101432972123736</v>
      </c>
      <c r="Q37" s="83" t="s">
        <v>620</v>
      </c>
      <c r="R37" s="83" t="s">
        <v>797</v>
      </c>
      <c r="S37" s="83" t="s">
        <v>1046</v>
      </c>
      <c r="T37" s="83">
        <v>0.9358</v>
      </c>
      <c r="U37" s="83">
        <v>10</v>
      </c>
      <c r="V37" s="77">
        <f t="shared" si="1"/>
        <v>9</v>
      </c>
    </row>
    <row r="38" spans="1:22" ht="12.75">
      <c r="A38" s="83" t="s">
        <v>1111</v>
      </c>
      <c r="B38" s="83"/>
      <c r="C38" s="92">
        <v>1988</v>
      </c>
      <c r="D38" s="89" t="s">
        <v>1114</v>
      </c>
      <c r="E38" s="89" t="s">
        <v>472</v>
      </c>
      <c r="F38" s="83" t="s">
        <v>896</v>
      </c>
      <c r="G38" s="83" t="s">
        <v>895</v>
      </c>
      <c r="H38" s="83" t="s">
        <v>897</v>
      </c>
      <c r="I38" s="83" t="s">
        <v>459</v>
      </c>
      <c r="J38" s="83" t="s">
        <v>103</v>
      </c>
      <c r="K38" s="83" t="s">
        <v>970</v>
      </c>
      <c r="L38" s="83" t="s">
        <v>1048</v>
      </c>
      <c r="M38" s="83">
        <v>0.39511870523732506</v>
      </c>
      <c r="N38" s="83">
        <v>1.064386780087067</v>
      </c>
      <c r="O38" s="82">
        <f t="shared" si="2"/>
        <v>0.15611879122842018</v>
      </c>
      <c r="P38" s="82">
        <f t="shared" si="3"/>
        <v>1.1329192176241143</v>
      </c>
      <c r="Q38" s="83" t="s">
        <v>815</v>
      </c>
      <c r="R38" s="83" t="s">
        <v>797</v>
      </c>
      <c r="S38" s="83" t="s">
        <v>1046</v>
      </c>
      <c r="T38" s="83">
        <v>0.8923</v>
      </c>
      <c r="U38" s="83">
        <v>10</v>
      </c>
      <c r="V38" s="77">
        <f t="shared" si="1"/>
        <v>9</v>
      </c>
    </row>
    <row r="39" spans="1:22" ht="12.75">
      <c r="A39" s="83" t="s">
        <v>1111</v>
      </c>
      <c r="B39" s="83"/>
      <c r="C39" s="92">
        <v>1988</v>
      </c>
      <c r="D39" s="89" t="s">
        <v>1114</v>
      </c>
      <c r="E39" s="89" t="s">
        <v>472</v>
      </c>
      <c r="F39" s="83" t="s">
        <v>896</v>
      </c>
      <c r="G39" s="83" t="s">
        <v>895</v>
      </c>
      <c r="H39" s="83" t="s">
        <v>897</v>
      </c>
      <c r="I39" s="83" t="s">
        <v>459</v>
      </c>
      <c r="J39" s="83" t="s">
        <v>103</v>
      </c>
      <c r="K39" s="83" t="s">
        <v>1129</v>
      </c>
      <c r="L39" s="83" t="s">
        <v>919</v>
      </c>
      <c r="M39" s="83">
        <v>0.4956876927035427</v>
      </c>
      <c r="N39" s="83">
        <v>1.1835481681237379</v>
      </c>
      <c r="O39" s="82">
        <f t="shared" si="2"/>
        <v>0.24570628869776176</v>
      </c>
      <c r="P39" s="82">
        <f t="shared" si="3"/>
        <v>1.4007862662690558</v>
      </c>
      <c r="Q39" s="83" t="s">
        <v>620</v>
      </c>
      <c r="R39" s="83" t="s">
        <v>797</v>
      </c>
      <c r="S39" s="83" t="s">
        <v>1046</v>
      </c>
      <c r="T39" s="83">
        <v>0.8746</v>
      </c>
      <c r="U39" s="83">
        <v>10</v>
      </c>
      <c r="V39" s="77">
        <f t="shared" si="1"/>
        <v>9</v>
      </c>
    </row>
    <row r="40" spans="1:22" ht="12.75">
      <c r="A40" s="83" t="s">
        <v>1111</v>
      </c>
      <c r="B40" s="83"/>
      <c r="C40" s="92">
        <v>1998</v>
      </c>
      <c r="D40" s="89" t="s">
        <v>761</v>
      </c>
      <c r="E40" s="89" t="s">
        <v>472</v>
      </c>
      <c r="F40" s="83" t="s">
        <v>896</v>
      </c>
      <c r="G40" s="83" t="s">
        <v>895</v>
      </c>
      <c r="H40" s="83" t="s">
        <v>897</v>
      </c>
      <c r="I40" s="83" t="s">
        <v>459</v>
      </c>
      <c r="J40" s="83" t="s">
        <v>103</v>
      </c>
      <c r="K40" s="83" t="s">
        <v>970</v>
      </c>
      <c r="L40" s="83" t="s">
        <v>1047</v>
      </c>
      <c r="M40" s="83">
        <v>0.2639038932558542</v>
      </c>
      <c r="N40" s="83">
        <v>0.7018600723266927</v>
      </c>
      <c r="O40" s="82">
        <f aca="true" t="shared" si="4" ref="O40:O70">(M40)^2</f>
        <v>0.0696452648755973</v>
      </c>
      <c r="P40" s="82">
        <f t="shared" si="3"/>
        <v>0.4926075611264303</v>
      </c>
      <c r="Q40" s="83" t="s">
        <v>815</v>
      </c>
      <c r="R40" s="83" t="s">
        <v>797</v>
      </c>
      <c r="S40" s="83" t="s">
        <v>1046</v>
      </c>
      <c r="T40" s="83">
        <v>0.8992</v>
      </c>
      <c r="U40" s="83">
        <v>10</v>
      </c>
      <c r="V40" s="77">
        <f t="shared" si="1"/>
        <v>9</v>
      </c>
    </row>
    <row r="41" spans="1:22" ht="12.75">
      <c r="A41" s="83" t="s">
        <v>684</v>
      </c>
      <c r="B41" s="83"/>
      <c r="C41" s="93">
        <v>1999</v>
      </c>
      <c r="D41" s="89" t="s">
        <v>439</v>
      </c>
      <c r="E41" s="89" t="s">
        <v>472</v>
      </c>
      <c r="F41" s="83" t="s">
        <v>798</v>
      </c>
      <c r="G41" s="83" t="s">
        <v>799</v>
      </c>
      <c r="H41" s="83" t="s">
        <v>102</v>
      </c>
      <c r="I41" s="83" t="s">
        <v>457</v>
      </c>
      <c r="J41" s="83" t="s">
        <v>94</v>
      </c>
      <c r="K41" s="83" t="s">
        <v>564</v>
      </c>
      <c r="L41" s="83" t="s">
        <v>789</v>
      </c>
      <c r="M41" s="83">
        <v>0.39356733471597183</v>
      </c>
      <c r="N41" s="83">
        <v>0.4106078196354016</v>
      </c>
      <c r="O41" s="82">
        <f t="shared" si="4"/>
        <v>0.1548952469554338</v>
      </c>
      <c r="P41" s="82">
        <f t="shared" si="3"/>
        <v>0.16859878154573849</v>
      </c>
      <c r="Q41" s="83" t="s">
        <v>892</v>
      </c>
      <c r="R41" s="83" t="s">
        <v>797</v>
      </c>
      <c r="S41" s="83" t="s">
        <v>107</v>
      </c>
      <c r="T41" s="83">
        <v>0.8907</v>
      </c>
      <c r="U41" s="83">
        <v>14</v>
      </c>
      <c r="V41" s="77">
        <f t="shared" si="1"/>
        <v>13</v>
      </c>
    </row>
    <row r="42" spans="1:22" ht="12.75">
      <c r="A42" s="83" t="s">
        <v>684</v>
      </c>
      <c r="B42" s="83"/>
      <c r="C42" s="83">
        <v>1999</v>
      </c>
      <c r="D42" s="89" t="s">
        <v>431</v>
      </c>
      <c r="E42" s="89" t="s">
        <v>472</v>
      </c>
      <c r="F42" s="83" t="s">
        <v>798</v>
      </c>
      <c r="G42" s="83" t="s">
        <v>799</v>
      </c>
      <c r="H42" s="83" t="s">
        <v>102</v>
      </c>
      <c r="I42" s="83" t="s">
        <v>457</v>
      </c>
      <c r="J42" s="83" t="s">
        <v>94</v>
      </c>
      <c r="K42" s="83" t="s">
        <v>564</v>
      </c>
      <c r="L42" s="83" t="s">
        <v>788</v>
      </c>
      <c r="M42" s="83">
        <v>0.1256177193339598</v>
      </c>
      <c r="N42" s="83">
        <v>0.313590447419955</v>
      </c>
      <c r="O42" s="82">
        <f t="shared" si="4"/>
        <v>0.015779811410665496</v>
      </c>
      <c r="P42" s="82">
        <f t="shared" si="3"/>
        <v>0.09833896871304756</v>
      </c>
      <c r="Q42" s="83" t="s">
        <v>892</v>
      </c>
      <c r="R42" s="83" t="s">
        <v>797</v>
      </c>
      <c r="S42" s="83" t="s">
        <v>95</v>
      </c>
      <c r="T42" s="83">
        <v>0.9397</v>
      </c>
      <c r="U42" s="83">
        <v>14</v>
      </c>
      <c r="V42" s="77">
        <f t="shared" si="1"/>
        <v>13</v>
      </c>
    </row>
    <row r="43" spans="1:22" ht="12.75">
      <c r="A43" s="83" t="s">
        <v>684</v>
      </c>
      <c r="B43" s="83"/>
      <c r="C43" s="93">
        <v>1999</v>
      </c>
      <c r="D43" s="89" t="s">
        <v>431</v>
      </c>
      <c r="E43" s="89" t="s">
        <v>472</v>
      </c>
      <c r="F43" s="83" t="s">
        <v>798</v>
      </c>
      <c r="G43" s="83" t="s">
        <v>799</v>
      </c>
      <c r="H43" s="83" t="s">
        <v>102</v>
      </c>
      <c r="I43" s="83" t="s">
        <v>457</v>
      </c>
      <c r="J43" s="83" t="s">
        <v>94</v>
      </c>
      <c r="K43" s="83" t="s">
        <v>564</v>
      </c>
      <c r="L43" s="83" t="s">
        <v>787</v>
      </c>
      <c r="M43" s="83">
        <v>0.17385694760446999</v>
      </c>
      <c r="N43" s="83">
        <v>0.41400214291329474</v>
      </c>
      <c r="O43" s="82">
        <f t="shared" si="4"/>
        <v>0.03022623823034342</v>
      </c>
      <c r="P43" s="82">
        <f aca="true" t="shared" si="5" ref="P43:P70">(N43)^2</f>
        <v>0.17139777433680012</v>
      </c>
      <c r="Q43" s="83" t="s">
        <v>892</v>
      </c>
      <c r="R43" s="83" t="s">
        <v>797</v>
      </c>
      <c r="S43" s="83" t="s">
        <v>95</v>
      </c>
      <c r="T43" s="83">
        <v>0.9586</v>
      </c>
      <c r="U43" s="83">
        <v>14</v>
      </c>
      <c r="V43" s="77">
        <f t="shared" si="1"/>
        <v>13</v>
      </c>
    </row>
    <row r="44" spans="1:22" ht="12.75">
      <c r="A44" s="83" t="s">
        <v>723</v>
      </c>
      <c r="B44" s="83"/>
      <c r="C44" s="83">
        <v>1993</v>
      </c>
      <c r="D44" s="89" t="s">
        <v>714</v>
      </c>
      <c r="E44" s="89" t="s">
        <v>472</v>
      </c>
      <c r="F44" s="83" t="s">
        <v>720</v>
      </c>
      <c r="G44" s="83" t="s">
        <v>719</v>
      </c>
      <c r="H44" s="83" t="s">
        <v>102</v>
      </c>
      <c r="I44" s="83" t="s">
        <v>457</v>
      </c>
      <c r="J44" s="83" t="s">
        <v>94</v>
      </c>
      <c r="K44" s="83" t="s">
        <v>971</v>
      </c>
      <c r="L44" s="83" t="s">
        <v>715</v>
      </c>
      <c r="M44" s="83">
        <v>0.1554536764167053</v>
      </c>
      <c r="N44" s="83">
        <v>0.3585626607142523</v>
      </c>
      <c r="O44" s="82">
        <f t="shared" si="4"/>
        <v>0.024165845511469716</v>
      </c>
      <c r="P44" s="82">
        <f t="shared" si="5"/>
        <v>0.12856718165848402</v>
      </c>
      <c r="Q44" s="83" t="s">
        <v>87</v>
      </c>
      <c r="R44" s="83" t="s">
        <v>797</v>
      </c>
      <c r="S44" s="83" t="s">
        <v>107</v>
      </c>
      <c r="T44" s="83">
        <v>0.945</v>
      </c>
      <c r="U44" s="83">
        <v>6</v>
      </c>
      <c r="V44" s="77">
        <f t="shared" si="1"/>
        <v>5</v>
      </c>
    </row>
    <row r="45" spans="1:22" ht="12.75">
      <c r="A45" s="83" t="s">
        <v>723</v>
      </c>
      <c r="B45" s="83"/>
      <c r="C45" s="83">
        <v>1993</v>
      </c>
      <c r="D45" s="89" t="s">
        <v>714</v>
      </c>
      <c r="E45" s="89" t="s">
        <v>472</v>
      </c>
      <c r="F45" s="83" t="s">
        <v>720</v>
      </c>
      <c r="G45" s="83" t="s">
        <v>719</v>
      </c>
      <c r="H45" s="83" t="s">
        <v>102</v>
      </c>
      <c r="I45" s="83" t="s">
        <v>457</v>
      </c>
      <c r="J45" s="83" t="s">
        <v>94</v>
      </c>
      <c r="K45" s="83" t="s">
        <v>1129</v>
      </c>
      <c r="L45" s="83" t="s">
        <v>717</v>
      </c>
      <c r="M45" s="83">
        <v>0.5964998854714791</v>
      </c>
      <c r="N45" s="83">
        <v>0.2146578881162673</v>
      </c>
      <c r="O45" s="82">
        <f t="shared" si="4"/>
        <v>0.35581211336748775</v>
      </c>
      <c r="P45" s="82">
        <f t="shared" si="5"/>
        <v>0.04607800893053593</v>
      </c>
      <c r="Q45" s="83" t="s">
        <v>87</v>
      </c>
      <c r="R45" s="83" t="s">
        <v>797</v>
      </c>
      <c r="S45" s="83" t="s">
        <v>95</v>
      </c>
      <c r="T45" s="83">
        <v>0.89</v>
      </c>
      <c r="U45" s="83">
        <v>6</v>
      </c>
      <c r="V45" s="77">
        <f t="shared" si="1"/>
        <v>5</v>
      </c>
    </row>
    <row r="46" spans="1:22" ht="12.75">
      <c r="A46" s="83" t="s">
        <v>723</v>
      </c>
      <c r="B46" s="83"/>
      <c r="C46" s="83">
        <v>1999</v>
      </c>
      <c r="D46" s="89" t="s">
        <v>714</v>
      </c>
      <c r="E46" s="89" t="s">
        <v>472</v>
      </c>
      <c r="F46" s="83" t="s">
        <v>720</v>
      </c>
      <c r="G46" s="83" t="s">
        <v>719</v>
      </c>
      <c r="H46" s="83" t="s">
        <v>102</v>
      </c>
      <c r="I46" s="83" t="s">
        <v>457</v>
      </c>
      <c r="J46" s="83" t="s">
        <v>94</v>
      </c>
      <c r="K46" s="83" t="s">
        <v>970</v>
      </c>
      <c r="L46" s="83" t="s">
        <v>716</v>
      </c>
      <c r="M46" s="83">
        <v>0.26689227947346156</v>
      </c>
      <c r="N46" s="83">
        <v>0.454147553114624</v>
      </c>
      <c r="O46" s="82">
        <f t="shared" si="4"/>
        <v>0.07123148884254031</v>
      </c>
      <c r="P46" s="82">
        <f t="shared" si="5"/>
        <v>0.20625000000000024</v>
      </c>
      <c r="Q46" s="83" t="s">
        <v>87</v>
      </c>
      <c r="R46" s="83" t="s">
        <v>797</v>
      </c>
      <c r="S46" s="83" t="s">
        <v>713</v>
      </c>
      <c r="T46" s="83">
        <v>0.88</v>
      </c>
      <c r="U46" s="83">
        <v>6</v>
      </c>
      <c r="V46" s="77">
        <f t="shared" si="1"/>
        <v>5</v>
      </c>
    </row>
    <row r="47" spans="1:22" ht="12.75">
      <c r="A47" s="83" t="s">
        <v>1057</v>
      </c>
      <c r="B47" s="83"/>
      <c r="C47" s="92">
        <v>1988</v>
      </c>
      <c r="D47" s="89" t="s">
        <v>1023</v>
      </c>
      <c r="E47" s="89" t="s">
        <v>473</v>
      </c>
      <c r="F47" s="83" t="s">
        <v>997</v>
      </c>
      <c r="G47" s="83"/>
      <c r="H47" s="83" t="s">
        <v>102</v>
      </c>
      <c r="I47" s="83" t="s">
        <v>457</v>
      </c>
      <c r="J47" s="83"/>
      <c r="K47" s="83" t="s">
        <v>564</v>
      </c>
      <c r="L47" s="83" t="s">
        <v>996</v>
      </c>
      <c r="M47" s="83">
        <v>0.380955049040805</v>
      </c>
      <c r="N47" s="83">
        <v>1.2159111368378193</v>
      </c>
      <c r="O47" s="82">
        <f t="shared" si="4"/>
        <v>0.14512674938968215</v>
      </c>
      <c r="P47" s="82">
        <f t="shared" si="5"/>
        <v>1.478439892686238</v>
      </c>
      <c r="Q47" s="83" t="s">
        <v>931</v>
      </c>
      <c r="R47" s="83"/>
      <c r="S47" s="83" t="s">
        <v>947</v>
      </c>
      <c r="T47" s="83">
        <v>0.654</v>
      </c>
      <c r="U47" s="83">
        <v>5</v>
      </c>
      <c r="V47" s="77">
        <f t="shared" si="1"/>
        <v>4</v>
      </c>
    </row>
    <row r="48" spans="1:22" ht="12.75">
      <c r="A48" s="83" t="s">
        <v>1057</v>
      </c>
      <c r="B48" s="83"/>
      <c r="C48" s="93">
        <v>1998</v>
      </c>
      <c r="D48" s="89" t="s">
        <v>1023</v>
      </c>
      <c r="E48" s="89" t="s">
        <v>473</v>
      </c>
      <c r="F48" s="83" t="s">
        <v>997</v>
      </c>
      <c r="G48" s="83"/>
      <c r="H48" s="83" t="s">
        <v>102</v>
      </c>
      <c r="I48" s="83" t="s">
        <v>457</v>
      </c>
      <c r="J48" s="83"/>
      <c r="K48" s="83" t="s">
        <v>564</v>
      </c>
      <c r="L48" s="83" t="s">
        <v>996</v>
      </c>
      <c r="M48" s="83">
        <v>0.21313218943141038</v>
      </c>
      <c r="N48" s="83">
        <v>0.406863120735502</v>
      </c>
      <c r="O48" s="82">
        <f t="shared" si="4"/>
        <v>0.0454253301718266</v>
      </c>
      <c r="P48" s="82">
        <f t="shared" si="5"/>
        <v>0.1655375990146317</v>
      </c>
      <c r="Q48" s="83" t="s">
        <v>931</v>
      </c>
      <c r="R48" s="83"/>
      <c r="S48" s="83" t="s">
        <v>107</v>
      </c>
      <c r="T48" s="83">
        <v>0.9527</v>
      </c>
      <c r="U48" s="83">
        <v>5</v>
      </c>
      <c r="V48" s="77">
        <f t="shared" si="1"/>
        <v>4</v>
      </c>
    </row>
    <row r="49" spans="1:22" ht="12.75">
      <c r="A49" s="83" t="s">
        <v>609</v>
      </c>
      <c r="B49" s="83"/>
      <c r="C49" s="83">
        <v>1998</v>
      </c>
      <c r="D49" s="89" t="s">
        <v>1114</v>
      </c>
      <c r="E49" s="89" t="s">
        <v>472</v>
      </c>
      <c r="F49" s="83" t="s">
        <v>371</v>
      </c>
      <c r="G49" s="83" t="s">
        <v>611</v>
      </c>
      <c r="H49" s="83" t="s">
        <v>102</v>
      </c>
      <c r="I49" s="83" t="s">
        <v>457</v>
      </c>
      <c r="J49" s="83" t="s">
        <v>94</v>
      </c>
      <c r="K49" s="83" t="s">
        <v>971</v>
      </c>
      <c r="L49" s="83" t="s">
        <v>612</v>
      </c>
      <c r="M49" s="83">
        <v>0.10949184120691365</v>
      </c>
      <c r="N49" s="83">
        <v>0.23333185410507476</v>
      </c>
      <c r="O49" s="82">
        <f t="shared" si="4"/>
        <v>0.011988463290879993</v>
      </c>
      <c r="P49" s="82">
        <f t="shared" si="5"/>
        <v>0.05444375414011189</v>
      </c>
      <c r="Q49" s="83" t="s">
        <v>620</v>
      </c>
      <c r="R49" s="83" t="s">
        <v>797</v>
      </c>
      <c r="S49" s="83" t="s">
        <v>107</v>
      </c>
      <c r="T49" s="83">
        <v>0.9415</v>
      </c>
      <c r="U49" s="83">
        <v>5</v>
      </c>
      <c r="V49" s="77">
        <f t="shared" si="1"/>
        <v>4</v>
      </c>
    </row>
    <row r="50" spans="1:22" ht="12.75">
      <c r="A50" s="83" t="s">
        <v>609</v>
      </c>
      <c r="B50" s="83"/>
      <c r="C50" s="93">
        <v>1998</v>
      </c>
      <c r="D50" s="89" t="s">
        <v>1114</v>
      </c>
      <c r="E50" s="89" t="s">
        <v>472</v>
      </c>
      <c r="F50" s="83" t="s">
        <v>371</v>
      </c>
      <c r="G50" s="83" t="s">
        <v>611</v>
      </c>
      <c r="H50" s="83" t="s">
        <v>102</v>
      </c>
      <c r="I50" s="83" t="s">
        <v>457</v>
      </c>
      <c r="J50" s="83" t="s">
        <v>94</v>
      </c>
      <c r="K50" s="83" t="s">
        <v>970</v>
      </c>
      <c r="L50" s="83" t="s">
        <v>613</v>
      </c>
      <c r="M50" s="83">
        <v>0.1778599712676077</v>
      </c>
      <c r="N50" s="83">
        <v>0.3872771117422998</v>
      </c>
      <c r="O50" s="82">
        <f t="shared" si="4"/>
        <v>0.031634169379314236</v>
      </c>
      <c r="P50" s="82">
        <f t="shared" si="5"/>
        <v>0.14998356127945775</v>
      </c>
      <c r="Q50" s="83" t="s">
        <v>620</v>
      </c>
      <c r="R50" s="83" t="s">
        <v>797</v>
      </c>
      <c r="S50" s="83" t="s">
        <v>604</v>
      </c>
      <c r="T50" s="83">
        <v>0.901</v>
      </c>
      <c r="U50" s="83">
        <v>5</v>
      </c>
      <c r="V50" s="77">
        <f t="shared" si="1"/>
        <v>4</v>
      </c>
    </row>
    <row r="51" spans="1:22" ht="12.75">
      <c r="A51" s="83" t="s">
        <v>609</v>
      </c>
      <c r="B51" s="83"/>
      <c r="C51" s="83">
        <v>1998</v>
      </c>
      <c r="D51" s="89" t="s">
        <v>1114</v>
      </c>
      <c r="E51" s="89" t="s">
        <v>472</v>
      </c>
      <c r="F51" s="83" t="s">
        <v>371</v>
      </c>
      <c r="G51" s="83" t="s">
        <v>611</v>
      </c>
      <c r="H51" s="83" t="s">
        <v>102</v>
      </c>
      <c r="I51" s="83" t="s">
        <v>457</v>
      </c>
      <c r="J51" s="83" t="s">
        <v>94</v>
      </c>
      <c r="K51" s="83" t="s">
        <v>1129</v>
      </c>
      <c r="L51" s="83" t="s">
        <v>614</v>
      </c>
      <c r="M51" s="83">
        <v>0.0743724249545425</v>
      </c>
      <c r="N51" s="83">
        <v>0.17396269631651867</v>
      </c>
      <c r="O51" s="82">
        <f t="shared" si="4"/>
        <v>0.005531257593619055</v>
      </c>
      <c r="P51" s="82">
        <f t="shared" si="5"/>
        <v>0.0302630197097133</v>
      </c>
      <c r="Q51" s="83" t="s">
        <v>620</v>
      </c>
      <c r="R51" s="83" t="s">
        <v>797</v>
      </c>
      <c r="S51" s="83" t="s">
        <v>604</v>
      </c>
      <c r="T51" s="83">
        <v>0.9601</v>
      </c>
      <c r="U51" s="83">
        <v>5</v>
      </c>
      <c r="V51" s="77">
        <f t="shared" si="1"/>
        <v>4</v>
      </c>
    </row>
    <row r="52" spans="1:22" ht="12.75">
      <c r="A52" s="83" t="s">
        <v>683</v>
      </c>
      <c r="B52" s="83"/>
      <c r="C52" s="92">
        <v>2000</v>
      </c>
      <c r="D52" s="89" t="s">
        <v>857</v>
      </c>
      <c r="E52" s="89" t="s">
        <v>472</v>
      </c>
      <c r="F52" s="83" t="s">
        <v>571</v>
      </c>
      <c r="G52" s="83" t="s">
        <v>572</v>
      </c>
      <c r="H52" s="83" t="s">
        <v>102</v>
      </c>
      <c r="I52" s="83" t="s">
        <v>457</v>
      </c>
      <c r="J52" s="83" t="s">
        <v>94</v>
      </c>
      <c r="K52" s="83" t="s">
        <v>971</v>
      </c>
      <c r="L52" s="83" t="s">
        <v>579</v>
      </c>
      <c r="M52" s="83">
        <v>0.6194677363504927</v>
      </c>
      <c r="N52" s="83">
        <v>1.8633397333409452</v>
      </c>
      <c r="O52" s="82">
        <f t="shared" si="4"/>
        <v>0.3837402763792035</v>
      </c>
      <c r="P52" s="82">
        <f t="shared" si="5"/>
        <v>3.4720349618471045</v>
      </c>
      <c r="Q52" s="83" t="s">
        <v>87</v>
      </c>
      <c r="R52" s="83" t="s">
        <v>1128</v>
      </c>
      <c r="S52" s="83" t="s">
        <v>7</v>
      </c>
      <c r="T52" s="83">
        <v>0.8403</v>
      </c>
      <c r="U52" s="83">
        <v>6</v>
      </c>
      <c r="V52" s="77">
        <f t="shared" si="1"/>
        <v>5</v>
      </c>
    </row>
    <row r="53" spans="1:22" ht="12.75">
      <c r="A53" s="83" t="s">
        <v>683</v>
      </c>
      <c r="B53" s="83"/>
      <c r="C53" s="92">
        <v>2000</v>
      </c>
      <c r="D53" s="89" t="s">
        <v>857</v>
      </c>
      <c r="E53" s="89" t="s">
        <v>472</v>
      </c>
      <c r="F53" s="83" t="s">
        <v>571</v>
      </c>
      <c r="G53" s="83" t="s">
        <v>572</v>
      </c>
      <c r="H53" s="83" t="s">
        <v>102</v>
      </c>
      <c r="I53" s="83" t="s">
        <v>457</v>
      </c>
      <c r="J53" s="83" t="s">
        <v>94</v>
      </c>
      <c r="K53" s="83" t="s">
        <v>970</v>
      </c>
      <c r="L53" s="83" t="s">
        <v>580</v>
      </c>
      <c r="M53" s="83">
        <v>0.581321345024437</v>
      </c>
      <c r="N53" s="83">
        <v>1.9030732666212726</v>
      </c>
      <c r="O53" s="82">
        <f t="shared" si="4"/>
        <v>0.3379345061810205</v>
      </c>
      <c r="P53" s="82">
        <f t="shared" si="5"/>
        <v>3.6216878581285616</v>
      </c>
      <c r="Q53" s="83" t="s">
        <v>892</v>
      </c>
      <c r="R53" s="83" t="s">
        <v>1128</v>
      </c>
      <c r="S53" s="83" t="s">
        <v>7</v>
      </c>
      <c r="T53" s="83">
        <v>0.7184</v>
      </c>
      <c r="U53" s="83">
        <v>6</v>
      </c>
      <c r="V53" s="77">
        <f t="shared" si="1"/>
        <v>5</v>
      </c>
    </row>
    <row r="54" spans="1:22" ht="12.75">
      <c r="A54" s="83" t="s">
        <v>683</v>
      </c>
      <c r="B54" s="83"/>
      <c r="C54" s="83">
        <v>2000</v>
      </c>
      <c r="D54" s="89" t="s">
        <v>857</v>
      </c>
      <c r="E54" s="89" t="s">
        <v>472</v>
      </c>
      <c r="F54" s="83" t="s">
        <v>571</v>
      </c>
      <c r="G54" s="83" t="s">
        <v>572</v>
      </c>
      <c r="H54" s="83" t="s">
        <v>102</v>
      </c>
      <c r="I54" s="83" t="s">
        <v>457</v>
      </c>
      <c r="J54" s="83" t="s">
        <v>94</v>
      </c>
      <c r="K54" s="83" t="s">
        <v>1129</v>
      </c>
      <c r="L54" s="83" t="s">
        <v>581</v>
      </c>
      <c r="M54" s="83">
        <v>0.2740806795722685</v>
      </c>
      <c r="N54" s="83">
        <v>0.4478694408110257</v>
      </c>
      <c r="O54" s="82">
        <f t="shared" si="4"/>
        <v>0.07512021891479652</v>
      </c>
      <c r="P54" s="82">
        <f t="shared" si="5"/>
        <v>0.20058703601238084</v>
      </c>
      <c r="Q54" s="83" t="s">
        <v>87</v>
      </c>
      <c r="R54" s="83" t="s">
        <v>1128</v>
      </c>
      <c r="S54" s="83" t="s">
        <v>107</v>
      </c>
      <c r="T54" s="83">
        <v>0.9477</v>
      </c>
      <c r="U54" s="83">
        <v>6</v>
      </c>
      <c r="V54" s="77">
        <f t="shared" si="1"/>
        <v>5</v>
      </c>
    </row>
    <row r="55" spans="1:22" ht="12.75">
      <c r="A55" s="83" t="s">
        <v>451</v>
      </c>
      <c r="B55" s="83"/>
      <c r="C55" s="92">
        <v>2001</v>
      </c>
      <c r="D55" s="89" t="s">
        <v>431</v>
      </c>
      <c r="E55" s="89" t="s">
        <v>472</v>
      </c>
      <c r="F55" s="83" t="s">
        <v>933</v>
      </c>
      <c r="G55" s="83" t="s">
        <v>927</v>
      </c>
      <c r="H55" s="83" t="s">
        <v>102</v>
      </c>
      <c r="I55" s="83" t="s">
        <v>457</v>
      </c>
      <c r="J55" s="83" t="s">
        <v>94</v>
      </c>
      <c r="K55" s="83" t="s">
        <v>564</v>
      </c>
      <c r="L55" s="83" t="s">
        <v>569</v>
      </c>
      <c r="M55" s="83">
        <v>0.24485868856207743</v>
      </c>
      <c r="N55" s="83">
        <v>0.526466862756008</v>
      </c>
      <c r="O55" s="82">
        <f t="shared" si="4"/>
        <v>0.05995577736434043</v>
      </c>
      <c r="P55" s="82">
        <f t="shared" si="5"/>
        <v>0.2771673575801533</v>
      </c>
      <c r="Q55" s="83" t="s">
        <v>931</v>
      </c>
      <c r="R55" s="83"/>
      <c r="S55" s="83" t="s">
        <v>95</v>
      </c>
      <c r="T55" s="83">
        <v>0.9553</v>
      </c>
      <c r="U55" s="83">
        <v>14</v>
      </c>
      <c r="V55" s="77">
        <f t="shared" si="1"/>
        <v>13</v>
      </c>
    </row>
    <row r="56" spans="1:22" ht="76.5">
      <c r="A56" s="92" t="s">
        <v>372</v>
      </c>
      <c r="B56" s="92" t="s">
        <v>339</v>
      </c>
      <c r="C56" s="92">
        <v>1989</v>
      </c>
      <c r="D56" s="94" t="s">
        <v>1114</v>
      </c>
      <c r="E56" s="94" t="s">
        <v>472</v>
      </c>
      <c r="F56" s="92" t="s">
        <v>373</v>
      </c>
      <c r="G56" s="92" t="s">
        <v>374</v>
      </c>
      <c r="H56" s="92" t="s">
        <v>102</v>
      </c>
      <c r="I56" s="92"/>
      <c r="J56" s="92" t="s">
        <v>358</v>
      </c>
      <c r="K56" s="92" t="s">
        <v>564</v>
      </c>
      <c r="L56" s="92" t="s">
        <v>238</v>
      </c>
      <c r="M56" s="95">
        <v>0.23744723587042266</v>
      </c>
      <c r="N56" s="95">
        <v>0.4473303023525633</v>
      </c>
      <c r="O56" s="82">
        <f t="shared" si="4"/>
        <v>0.05638118982250413</v>
      </c>
      <c r="P56" s="82">
        <f t="shared" si="5"/>
        <v>0.20010439940283573</v>
      </c>
      <c r="Q56" s="95" t="s">
        <v>239</v>
      </c>
      <c r="R56" s="95" t="s">
        <v>344</v>
      </c>
      <c r="S56" s="92" t="s">
        <v>345</v>
      </c>
      <c r="T56" s="92">
        <v>0.948</v>
      </c>
      <c r="U56" s="92">
        <v>15</v>
      </c>
      <c r="V56" s="77">
        <f t="shared" si="1"/>
        <v>14</v>
      </c>
    </row>
    <row r="57" spans="1:22" ht="76.5">
      <c r="A57" s="92" t="s">
        <v>372</v>
      </c>
      <c r="B57" s="92" t="s">
        <v>339</v>
      </c>
      <c r="C57" s="92">
        <v>1989</v>
      </c>
      <c r="D57" s="94" t="s">
        <v>1114</v>
      </c>
      <c r="E57" s="94" t="s">
        <v>472</v>
      </c>
      <c r="F57" s="92" t="s">
        <v>373</v>
      </c>
      <c r="G57" s="92" t="s">
        <v>374</v>
      </c>
      <c r="H57" s="92" t="s">
        <v>102</v>
      </c>
      <c r="I57" s="92"/>
      <c r="J57" s="92" t="s">
        <v>358</v>
      </c>
      <c r="K57" s="92" t="s">
        <v>564</v>
      </c>
      <c r="L57" s="92" t="s">
        <v>240</v>
      </c>
      <c r="M57" s="95">
        <v>0.21429143063651296</v>
      </c>
      <c r="N57" s="95">
        <v>0.4936430464612829</v>
      </c>
      <c r="O57" s="82">
        <f t="shared" si="4"/>
        <v>0.04592081724424345</v>
      </c>
      <c r="P57" s="82">
        <f t="shared" si="5"/>
        <v>0.24368345731957627</v>
      </c>
      <c r="Q57" s="95" t="s">
        <v>239</v>
      </c>
      <c r="R57" s="95" t="s">
        <v>344</v>
      </c>
      <c r="S57" s="92" t="s">
        <v>241</v>
      </c>
      <c r="T57" s="92">
        <v>0.96</v>
      </c>
      <c r="U57" s="92">
        <v>15</v>
      </c>
      <c r="V57" s="77">
        <f t="shared" si="1"/>
        <v>14</v>
      </c>
    </row>
    <row r="58" spans="1:22" ht="12.75">
      <c r="A58" s="83" t="s">
        <v>1107</v>
      </c>
      <c r="B58" s="83"/>
      <c r="C58" s="92">
        <v>1994</v>
      </c>
      <c r="D58" s="89" t="s">
        <v>1114</v>
      </c>
      <c r="E58" s="89" t="s">
        <v>472</v>
      </c>
      <c r="F58" s="83" t="s">
        <v>986</v>
      </c>
      <c r="G58" s="83" t="s">
        <v>983</v>
      </c>
      <c r="H58" s="83" t="s">
        <v>102</v>
      </c>
      <c r="I58" s="83" t="s">
        <v>457</v>
      </c>
      <c r="J58" s="83" t="s">
        <v>987</v>
      </c>
      <c r="K58" s="83" t="s">
        <v>971</v>
      </c>
      <c r="L58" s="83" t="s">
        <v>924</v>
      </c>
      <c r="M58" s="83">
        <v>0.28754877386486444</v>
      </c>
      <c r="N58" s="83">
        <v>0.6755603773582125</v>
      </c>
      <c r="O58" s="82">
        <f t="shared" si="4"/>
        <v>0.08268429735118694</v>
      </c>
      <c r="P58" s="82">
        <f t="shared" si="5"/>
        <v>0.45638182345637046</v>
      </c>
      <c r="Q58" s="83" t="s">
        <v>949</v>
      </c>
      <c r="R58" s="83"/>
      <c r="S58" s="83" t="s">
        <v>95</v>
      </c>
      <c r="T58" s="83">
        <v>0.9817</v>
      </c>
      <c r="U58" s="83">
        <v>6</v>
      </c>
      <c r="V58" s="77">
        <f t="shared" si="1"/>
        <v>5</v>
      </c>
    </row>
    <row r="59" spans="1:22" ht="12.75">
      <c r="A59" s="83" t="s">
        <v>1107</v>
      </c>
      <c r="B59" s="83"/>
      <c r="C59" s="92">
        <v>1994</v>
      </c>
      <c r="D59" s="89" t="s">
        <v>1114</v>
      </c>
      <c r="E59" s="89" t="s">
        <v>472</v>
      </c>
      <c r="F59" s="83" t="s">
        <v>986</v>
      </c>
      <c r="G59" s="83" t="s">
        <v>983</v>
      </c>
      <c r="H59" s="83" t="s">
        <v>102</v>
      </c>
      <c r="I59" s="83" t="s">
        <v>457</v>
      </c>
      <c r="J59" s="83" t="s">
        <v>987</v>
      </c>
      <c r="K59" s="83" t="s">
        <v>970</v>
      </c>
      <c r="L59" s="83" t="s">
        <v>923</v>
      </c>
      <c r="M59" s="83">
        <v>0.36545289021243127</v>
      </c>
      <c r="N59" s="83">
        <v>0.7637256160487202</v>
      </c>
      <c r="O59" s="82">
        <f t="shared" si="4"/>
        <v>0.13355581496461935</v>
      </c>
      <c r="P59" s="82">
        <f t="shared" si="5"/>
        <v>0.5832768166089972</v>
      </c>
      <c r="Q59" s="83" t="s">
        <v>949</v>
      </c>
      <c r="R59" s="83"/>
      <c r="S59" s="83" t="s">
        <v>95</v>
      </c>
      <c r="T59" s="83">
        <v>0.9394</v>
      </c>
      <c r="U59" s="83">
        <v>6</v>
      </c>
      <c r="V59" s="77">
        <f t="shared" si="1"/>
        <v>5</v>
      </c>
    </row>
    <row r="60" spans="1:22" ht="12.75">
      <c r="A60" s="83" t="s">
        <v>1107</v>
      </c>
      <c r="B60" s="83"/>
      <c r="C60" s="92">
        <v>1994</v>
      </c>
      <c r="D60" s="89" t="s">
        <v>1114</v>
      </c>
      <c r="E60" s="89" t="s">
        <v>472</v>
      </c>
      <c r="F60" s="83" t="s">
        <v>986</v>
      </c>
      <c r="G60" s="83" t="s">
        <v>983</v>
      </c>
      <c r="H60" s="83" t="s">
        <v>102</v>
      </c>
      <c r="I60" s="83" t="s">
        <v>457</v>
      </c>
      <c r="J60" s="83" t="s">
        <v>987</v>
      </c>
      <c r="K60" s="83" t="s">
        <v>1129</v>
      </c>
      <c r="L60" s="83" t="s">
        <v>925</v>
      </c>
      <c r="M60" s="83">
        <v>0.4170166227578928</v>
      </c>
      <c r="N60" s="83">
        <v>0.9677514812768281</v>
      </c>
      <c r="O60" s="82">
        <f t="shared" si="4"/>
        <v>0.17390286365639868</v>
      </c>
      <c r="P60" s="82">
        <f t="shared" si="5"/>
        <v>0.9365429295134949</v>
      </c>
      <c r="Q60" s="83" t="s">
        <v>949</v>
      </c>
      <c r="R60" s="83"/>
      <c r="S60" s="83" t="s">
        <v>95</v>
      </c>
      <c r="T60" s="83">
        <v>0.8608</v>
      </c>
      <c r="U60" s="83">
        <v>6</v>
      </c>
      <c r="V60" s="77">
        <f t="shared" si="1"/>
        <v>5</v>
      </c>
    </row>
    <row r="61" spans="1:22" ht="76.5">
      <c r="A61" s="92" t="s">
        <v>242</v>
      </c>
      <c r="B61" s="92" t="s">
        <v>365</v>
      </c>
      <c r="C61" s="92">
        <v>1991</v>
      </c>
      <c r="D61" s="94" t="s">
        <v>243</v>
      </c>
      <c r="E61" s="94" t="s">
        <v>473</v>
      </c>
      <c r="F61" s="92" t="s">
        <v>244</v>
      </c>
      <c r="G61" s="92" t="s">
        <v>245</v>
      </c>
      <c r="H61" s="92" t="s">
        <v>102</v>
      </c>
      <c r="I61" s="92"/>
      <c r="J61" s="92" t="s">
        <v>358</v>
      </c>
      <c r="K61" s="92" t="s">
        <v>564</v>
      </c>
      <c r="L61" s="92" t="s">
        <v>246</v>
      </c>
      <c r="M61" s="95">
        <v>0.30929569174140603</v>
      </c>
      <c r="N61" s="95">
        <v>0.49711848070264103</v>
      </c>
      <c r="O61" s="82">
        <f t="shared" si="4"/>
        <v>0.09566382492979486</v>
      </c>
      <c r="P61" s="82">
        <f t="shared" si="5"/>
        <v>0.2471267838561021</v>
      </c>
      <c r="Q61" s="95" t="s">
        <v>247</v>
      </c>
      <c r="R61" s="95" t="s">
        <v>344</v>
      </c>
      <c r="S61" s="92" t="s">
        <v>248</v>
      </c>
      <c r="T61" s="92" t="s">
        <v>249</v>
      </c>
      <c r="U61" s="92">
        <v>15</v>
      </c>
      <c r="V61" s="77">
        <f t="shared" si="1"/>
        <v>14</v>
      </c>
    </row>
    <row r="62" spans="1:22" ht="76.5">
      <c r="A62" s="92" t="s">
        <v>242</v>
      </c>
      <c r="B62" s="92" t="s">
        <v>365</v>
      </c>
      <c r="C62" s="92">
        <v>1991</v>
      </c>
      <c r="D62" s="94" t="s">
        <v>243</v>
      </c>
      <c r="E62" s="94" t="s">
        <v>473</v>
      </c>
      <c r="F62" s="92" t="s">
        <v>244</v>
      </c>
      <c r="G62" s="92" t="s">
        <v>250</v>
      </c>
      <c r="H62" s="92" t="s">
        <v>251</v>
      </c>
      <c r="I62" s="92"/>
      <c r="J62" s="92" t="s">
        <v>358</v>
      </c>
      <c r="K62" s="92" t="s">
        <v>564</v>
      </c>
      <c r="L62" s="92" t="s">
        <v>252</v>
      </c>
      <c r="M62" s="95">
        <v>0.22175901844276694</v>
      </c>
      <c r="N62" s="95">
        <v>0.560788843491137</v>
      </c>
      <c r="O62" s="82">
        <f t="shared" si="4"/>
        <v>0.04917706226069945</v>
      </c>
      <c r="P62" s="82">
        <f t="shared" si="5"/>
        <v>0.314484126984127</v>
      </c>
      <c r="Q62" s="95" t="s">
        <v>247</v>
      </c>
      <c r="R62" s="95" t="s">
        <v>344</v>
      </c>
      <c r="S62" s="92" t="s">
        <v>345</v>
      </c>
      <c r="T62" s="92">
        <v>0.949</v>
      </c>
      <c r="U62" s="92">
        <v>15</v>
      </c>
      <c r="V62" s="77">
        <f t="shared" si="1"/>
        <v>14</v>
      </c>
    </row>
    <row r="63" spans="1:22" ht="76.5">
      <c r="A63" s="92" t="s">
        <v>242</v>
      </c>
      <c r="B63" s="92" t="s">
        <v>365</v>
      </c>
      <c r="C63" s="92">
        <v>1991</v>
      </c>
      <c r="D63" s="94" t="s">
        <v>243</v>
      </c>
      <c r="E63" s="94" t="s">
        <v>473</v>
      </c>
      <c r="F63" s="92" t="s">
        <v>244</v>
      </c>
      <c r="G63" s="92" t="s">
        <v>245</v>
      </c>
      <c r="H63" s="92" t="s">
        <v>251</v>
      </c>
      <c r="I63" s="92"/>
      <c r="J63" s="92" t="s">
        <v>358</v>
      </c>
      <c r="K63" s="92" t="s">
        <v>564</v>
      </c>
      <c r="L63" s="92" t="s">
        <v>253</v>
      </c>
      <c r="M63" s="95">
        <v>0.635</v>
      </c>
      <c r="N63" s="95">
        <v>0.807286767164678</v>
      </c>
      <c r="O63" s="82">
        <f t="shared" si="4"/>
        <v>0.403225</v>
      </c>
      <c r="P63" s="82">
        <f t="shared" si="5"/>
        <v>0.651711924439197</v>
      </c>
      <c r="Q63" s="95" t="s">
        <v>247</v>
      </c>
      <c r="R63" s="95" t="s">
        <v>254</v>
      </c>
      <c r="S63" s="92" t="s">
        <v>255</v>
      </c>
      <c r="T63" s="92" t="s">
        <v>256</v>
      </c>
      <c r="U63" s="92">
        <v>15</v>
      </c>
      <c r="V63" s="77">
        <f t="shared" si="1"/>
        <v>14</v>
      </c>
    </row>
    <row r="64" spans="1:22" ht="12.75">
      <c r="A64" s="83" t="s">
        <v>1061</v>
      </c>
      <c r="B64" s="83"/>
      <c r="C64" s="83">
        <v>1992</v>
      </c>
      <c r="D64" s="89" t="s">
        <v>1023</v>
      </c>
      <c r="E64" s="89" t="s">
        <v>473</v>
      </c>
      <c r="F64" s="83" t="s">
        <v>966</v>
      </c>
      <c r="G64" s="83"/>
      <c r="H64" s="83" t="s">
        <v>102</v>
      </c>
      <c r="I64" s="83" t="s">
        <v>457</v>
      </c>
      <c r="J64" s="83" t="s">
        <v>94</v>
      </c>
      <c r="K64" s="83" t="s">
        <v>564</v>
      </c>
      <c r="L64" s="83" t="s">
        <v>1022</v>
      </c>
      <c r="M64" s="83">
        <v>0.28361484920656843</v>
      </c>
      <c r="N64" s="83">
        <v>0.4819788033199567</v>
      </c>
      <c r="O64" s="82">
        <f t="shared" si="4"/>
        <v>0.08043738269046455</v>
      </c>
      <c r="P64" s="82">
        <f t="shared" si="5"/>
        <v>0.2323035668497375</v>
      </c>
      <c r="Q64" s="83"/>
      <c r="R64" s="83"/>
      <c r="S64" s="83" t="s">
        <v>107</v>
      </c>
      <c r="T64" s="83">
        <v>0.9536</v>
      </c>
      <c r="U64" s="83">
        <v>5</v>
      </c>
      <c r="V64" s="77">
        <f t="shared" si="1"/>
        <v>4</v>
      </c>
    </row>
    <row r="65" spans="1:22" ht="12.75">
      <c r="A65" s="83" t="s">
        <v>680</v>
      </c>
      <c r="B65" s="83"/>
      <c r="C65" s="92">
        <v>2001</v>
      </c>
      <c r="D65" s="89" t="s">
        <v>1114</v>
      </c>
      <c r="E65" s="89" t="s">
        <v>472</v>
      </c>
      <c r="F65" s="83" t="s">
        <v>681</v>
      </c>
      <c r="G65" s="83"/>
      <c r="H65" s="83" t="s">
        <v>102</v>
      </c>
      <c r="I65" s="83" t="s">
        <v>457</v>
      </c>
      <c r="J65" s="83" t="s">
        <v>103</v>
      </c>
      <c r="K65" s="83" t="s">
        <v>564</v>
      </c>
      <c r="L65" s="83" t="s">
        <v>679</v>
      </c>
      <c r="M65" s="83">
        <v>0.3000022651775823</v>
      </c>
      <c r="N65" s="83">
        <v>0.8351831321318284</v>
      </c>
      <c r="O65" s="82">
        <f t="shared" si="4"/>
        <v>0.09000135911168039</v>
      </c>
      <c r="P65" s="82">
        <f t="shared" si="5"/>
        <v>0.6975308641975311</v>
      </c>
      <c r="Q65" s="83" t="s">
        <v>87</v>
      </c>
      <c r="R65" s="83" t="s">
        <v>797</v>
      </c>
      <c r="S65" s="83" t="s">
        <v>95</v>
      </c>
      <c r="T65" s="83">
        <v>0.848</v>
      </c>
      <c r="U65" s="83">
        <v>5</v>
      </c>
      <c r="V65" s="77">
        <f t="shared" si="1"/>
        <v>4</v>
      </c>
    </row>
    <row r="66" spans="1:22" ht="12.75">
      <c r="A66" s="83" t="s">
        <v>680</v>
      </c>
      <c r="B66" s="83"/>
      <c r="C66" s="92">
        <v>2001</v>
      </c>
      <c r="D66" s="89" t="s">
        <v>1114</v>
      </c>
      <c r="E66" s="89" t="s">
        <v>472</v>
      </c>
      <c r="F66" s="83" t="s">
        <v>681</v>
      </c>
      <c r="G66" s="83"/>
      <c r="H66" s="83" t="s">
        <v>102</v>
      </c>
      <c r="I66" s="83" t="s">
        <v>457</v>
      </c>
      <c r="J66" s="83" t="s">
        <v>103</v>
      </c>
      <c r="K66" s="83" t="s">
        <v>564</v>
      </c>
      <c r="L66" s="83" t="s">
        <v>678</v>
      </c>
      <c r="M66" s="83">
        <v>0.45492801105328384</v>
      </c>
      <c r="N66" s="83">
        <v>1.0019674205838018</v>
      </c>
      <c r="O66" s="82">
        <f t="shared" si="4"/>
        <v>0.20695949524089674</v>
      </c>
      <c r="P66" s="82">
        <f t="shared" si="5"/>
        <v>1.0039387119113572</v>
      </c>
      <c r="Q66" s="83" t="s">
        <v>87</v>
      </c>
      <c r="R66" s="83" t="s">
        <v>797</v>
      </c>
      <c r="S66" s="83" t="s">
        <v>95</v>
      </c>
      <c r="T66" s="83">
        <v>0.9623</v>
      </c>
      <c r="U66" s="83">
        <v>5</v>
      </c>
      <c r="V66" s="77">
        <f t="shared" si="1"/>
        <v>4</v>
      </c>
    </row>
    <row r="67" spans="1:22" ht="12.75">
      <c r="A67" s="83" t="s">
        <v>452</v>
      </c>
      <c r="B67" s="83"/>
      <c r="C67" s="92">
        <v>2005</v>
      </c>
      <c r="D67" s="89" t="s">
        <v>366</v>
      </c>
      <c r="E67" s="89" t="s">
        <v>473</v>
      </c>
      <c r="F67" s="83" t="s">
        <v>453</v>
      </c>
      <c r="G67" s="83"/>
      <c r="H67" s="83" t="s">
        <v>1088</v>
      </c>
      <c r="I67" s="83" t="s">
        <v>458</v>
      </c>
      <c r="J67" s="83" t="s">
        <v>94</v>
      </c>
      <c r="K67" s="83" t="s">
        <v>564</v>
      </c>
      <c r="L67" s="83" t="s">
        <v>938</v>
      </c>
      <c r="M67" s="83">
        <v>0.4331868505292928</v>
      </c>
      <c r="N67" s="83">
        <v>0.841146311885548</v>
      </c>
      <c r="O67" s="82">
        <f t="shared" si="4"/>
        <v>0.18765084747148786</v>
      </c>
      <c r="P67" s="82">
        <f t="shared" si="5"/>
        <v>0.7075271179986596</v>
      </c>
      <c r="Q67" s="83" t="s">
        <v>106</v>
      </c>
      <c r="R67" s="83"/>
      <c r="S67" s="83" t="s">
        <v>95</v>
      </c>
      <c r="T67" s="83">
        <v>0.9494</v>
      </c>
      <c r="U67" s="83">
        <v>11</v>
      </c>
      <c r="V67" s="77">
        <f aca="true" t="shared" si="6" ref="V67:V123">U67-1</f>
        <v>10</v>
      </c>
    </row>
    <row r="68" spans="1:22" ht="12.75">
      <c r="A68" s="83" t="s">
        <v>452</v>
      </c>
      <c r="B68" s="83"/>
      <c r="C68" s="83">
        <v>2005</v>
      </c>
      <c r="D68" s="89" t="s">
        <v>257</v>
      </c>
      <c r="E68" s="89" t="s">
        <v>473</v>
      </c>
      <c r="F68" s="83" t="s">
        <v>453</v>
      </c>
      <c r="G68" s="83"/>
      <c r="H68" s="83" t="s">
        <v>454</v>
      </c>
      <c r="I68" s="83" t="s">
        <v>458</v>
      </c>
      <c r="J68" s="83" t="s">
        <v>94</v>
      </c>
      <c r="K68" s="83" t="s">
        <v>564</v>
      </c>
      <c r="L68" s="83" t="s">
        <v>34</v>
      </c>
      <c r="M68" s="83">
        <v>0.16159241939248578</v>
      </c>
      <c r="N68" s="83">
        <v>0.31737667726513685</v>
      </c>
      <c r="O68" s="82">
        <f t="shared" si="4"/>
        <v>0.026112110005117015</v>
      </c>
      <c r="P68" s="82">
        <f t="shared" si="5"/>
        <v>0.10072795527185884</v>
      </c>
      <c r="Q68" s="83" t="s">
        <v>106</v>
      </c>
      <c r="R68" s="83"/>
      <c r="S68" s="83" t="s">
        <v>107</v>
      </c>
      <c r="T68" s="83">
        <v>0.9741</v>
      </c>
      <c r="U68" s="83">
        <v>21</v>
      </c>
      <c r="V68" s="77">
        <f t="shared" si="6"/>
        <v>20</v>
      </c>
    </row>
    <row r="69" spans="1:22" ht="89.25">
      <c r="A69" s="92" t="s">
        <v>258</v>
      </c>
      <c r="B69" s="92" t="s">
        <v>259</v>
      </c>
      <c r="C69" s="92">
        <v>1991</v>
      </c>
      <c r="D69" s="94" t="s">
        <v>820</v>
      </c>
      <c r="E69" s="94" t="s">
        <v>472</v>
      </c>
      <c r="F69" s="92" t="s">
        <v>260</v>
      </c>
      <c r="G69" s="92" t="s">
        <v>261</v>
      </c>
      <c r="H69" s="92" t="s">
        <v>102</v>
      </c>
      <c r="I69" s="92"/>
      <c r="J69" s="92" t="s">
        <v>358</v>
      </c>
      <c r="K69" s="92" t="s">
        <v>564</v>
      </c>
      <c r="L69" s="92" t="s">
        <v>262</v>
      </c>
      <c r="M69" s="95">
        <v>0.11197740937953438</v>
      </c>
      <c r="N69" s="95">
        <v>0.26259839240484556</v>
      </c>
      <c r="O69" s="82">
        <f t="shared" si="4"/>
        <v>0.012538940211351834</v>
      </c>
      <c r="P69" s="82">
        <f t="shared" si="5"/>
        <v>0.06895791569360925</v>
      </c>
      <c r="Q69" s="95" t="s">
        <v>361</v>
      </c>
      <c r="R69" s="95" t="s">
        <v>344</v>
      </c>
      <c r="S69" s="92" t="s">
        <v>345</v>
      </c>
      <c r="T69" s="92">
        <v>0.943</v>
      </c>
      <c r="U69" s="92">
        <v>10</v>
      </c>
      <c r="V69" s="77">
        <f t="shared" si="6"/>
        <v>9</v>
      </c>
    </row>
    <row r="70" spans="1:22" ht="63.75">
      <c r="A70" s="92" t="s">
        <v>258</v>
      </c>
      <c r="B70" s="92" t="s">
        <v>259</v>
      </c>
      <c r="C70" s="92">
        <v>1991</v>
      </c>
      <c r="D70" s="94" t="s">
        <v>820</v>
      </c>
      <c r="E70" s="94" t="s">
        <v>472</v>
      </c>
      <c r="F70" s="92" t="s">
        <v>260</v>
      </c>
      <c r="G70" s="92" t="s">
        <v>261</v>
      </c>
      <c r="H70" s="92" t="s">
        <v>102</v>
      </c>
      <c r="I70" s="92"/>
      <c r="J70" s="92" t="s">
        <v>358</v>
      </c>
      <c r="K70" s="92" t="s">
        <v>564</v>
      </c>
      <c r="L70" s="92" t="s">
        <v>263</v>
      </c>
      <c r="M70" s="95">
        <v>0.2122110778190351</v>
      </c>
      <c r="N70" s="95">
        <v>0.44814730117897134</v>
      </c>
      <c r="O70" s="82">
        <f t="shared" si="4"/>
        <v>0.04503354154911657</v>
      </c>
      <c r="P70" s="82">
        <f t="shared" si="5"/>
        <v>0.20083600355399564</v>
      </c>
      <c r="Q70" s="95" t="s">
        <v>361</v>
      </c>
      <c r="R70" s="95" t="s">
        <v>344</v>
      </c>
      <c r="S70" s="92" t="s">
        <v>264</v>
      </c>
      <c r="T70" s="92">
        <v>0.876</v>
      </c>
      <c r="U70" s="92">
        <v>10</v>
      </c>
      <c r="V70" s="77">
        <f t="shared" si="6"/>
        <v>9</v>
      </c>
    </row>
    <row r="71" spans="1:22" ht="12.75">
      <c r="A71" s="83" t="s">
        <v>265</v>
      </c>
      <c r="B71" s="83"/>
      <c r="C71" s="92">
        <v>1996</v>
      </c>
      <c r="D71" s="77" t="s">
        <v>266</v>
      </c>
      <c r="E71" s="89" t="s">
        <v>472</v>
      </c>
      <c r="F71" s="83" t="s">
        <v>267</v>
      </c>
      <c r="G71" s="83"/>
      <c r="H71" s="83" t="s">
        <v>102</v>
      </c>
      <c r="I71" s="83"/>
      <c r="J71" s="83"/>
      <c r="K71" s="83" t="s">
        <v>564</v>
      </c>
      <c r="L71" s="77"/>
      <c r="M71" s="77">
        <v>0.4338695278361253</v>
      </c>
      <c r="N71" s="77"/>
      <c r="O71" s="82">
        <f aca="true" t="shared" si="7" ref="O71:O79">M71^2</f>
        <v>0.1882427671847423</v>
      </c>
      <c r="P71" s="85"/>
      <c r="Q71" s="83"/>
      <c r="R71" s="83"/>
      <c r="S71" s="83"/>
      <c r="T71" s="83"/>
      <c r="U71" s="83">
        <v>10</v>
      </c>
      <c r="V71" s="77">
        <f t="shared" si="6"/>
        <v>9</v>
      </c>
    </row>
    <row r="72" spans="1:22" ht="12.75">
      <c r="A72" s="83" t="s">
        <v>265</v>
      </c>
      <c r="B72" s="83"/>
      <c r="C72" s="83">
        <v>1996</v>
      </c>
      <c r="D72" s="77" t="s">
        <v>266</v>
      </c>
      <c r="E72" s="89" t="s">
        <v>472</v>
      </c>
      <c r="F72" s="83" t="s">
        <v>267</v>
      </c>
      <c r="G72" s="83"/>
      <c r="H72" s="83" t="s">
        <v>102</v>
      </c>
      <c r="I72" s="83"/>
      <c r="J72" s="83"/>
      <c r="K72" s="83" t="s">
        <v>564</v>
      </c>
      <c r="L72" s="77"/>
      <c r="M72" s="77">
        <v>0.2904471824882156</v>
      </c>
      <c r="N72" s="77"/>
      <c r="O72" s="82">
        <f t="shared" si="7"/>
        <v>0.08435956581534282</v>
      </c>
      <c r="P72" s="85"/>
      <c r="Q72" s="83"/>
      <c r="R72" s="83"/>
      <c r="S72" s="83"/>
      <c r="T72" s="83"/>
      <c r="U72" s="83">
        <v>10</v>
      </c>
      <c r="V72" s="77">
        <f t="shared" si="6"/>
        <v>9</v>
      </c>
    </row>
    <row r="73" spans="1:22" ht="12.75">
      <c r="A73" s="83" t="s">
        <v>265</v>
      </c>
      <c r="B73" s="83"/>
      <c r="C73" s="92">
        <v>1996</v>
      </c>
      <c r="D73" s="77" t="s">
        <v>858</v>
      </c>
      <c r="E73" s="89" t="s">
        <v>472</v>
      </c>
      <c r="F73" s="83" t="s">
        <v>267</v>
      </c>
      <c r="G73" s="83"/>
      <c r="H73" s="83" t="s">
        <v>102</v>
      </c>
      <c r="I73" s="83"/>
      <c r="J73" s="83"/>
      <c r="K73" s="83" t="s">
        <v>564</v>
      </c>
      <c r="L73" s="77"/>
      <c r="M73" s="77">
        <v>0.34765633464869405</v>
      </c>
      <c r="N73" s="77"/>
      <c r="O73" s="82">
        <f t="shared" si="7"/>
        <v>0.12086492702136475</v>
      </c>
      <c r="P73" s="85"/>
      <c r="Q73" s="83"/>
      <c r="R73" s="83"/>
      <c r="S73" s="83"/>
      <c r="T73" s="83"/>
      <c r="U73" s="83">
        <v>10</v>
      </c>
      <c r="V73" s="77">
        <f t="shared" si="6"/>
        <v>9</v>
      </c>
    </row>
    <row r="74" spans="1:22" ht="12.75">
      <c r="A74" s="83" t="s">
        <v>265</v>
      </c>
      <c r="B74" s="83"/>
      <c r="C74" s="83">
        <v>1996</v>
      </c>
      <c r="D74" s="77" t="s">
        <v>761</v>
      </c>
      <c r="E74" s="89" t="s">
        <v>472</v>
      </c>
      <c r="F74" s="83" t="s">
        <v>267</v>
      </c>
      <c r="G74" s="83"/>
      <c r="H74" s="83" t="s">
        <v>102</v>
      </c>
      <c r="I74" s="83"/>
      <c r="J74" s="83"/>
      <c r="K74" s="83" t="s">
        <v>564</v>
      </c>
      <c r="L74" s="77"/>
      <c r="M74" s="77">
        <v>0.34557839620037945</v>
      </c>
      <c r="N74" s="77"/>
      <c r="O74" s="82">
        <f t="shared" si="7"/>
        <v>0.11942442792042643</v>
      </c>
      <c r="P74" s="85"/>
      <c r="Q74" s="83"/>
      <c r="R74" s="83"/>
      <c r="S74" s="83"/>
      <c r="T74" s="83"/>
      <c r="U74" s="83">
        <v>10</v>
      </c>
      <c r="V74" s="77">
        <f t="shared" si="6"/>
        <v>9</v>
      </c>
    </row>
    <row r="75" spans="1:22" ht="12.75">
      <c r="A75" s="83" t="s">
        <v>265</v>
      </c>
      <c r="B75" s="83"/>
      <c r="C75" s="92">
        <v>1996</v>
      </c>
      <c r="D75" s="77" t="s">
        <v>857</v>
      </c>
      <c r="E75" s="89" t="s">
        <v>472</v>
      </c>
      <c r="F75" s="83" t="s">
        <v>267</v>
      </c>
      <c r="G75" s="83"/>
      <c r="H75" s="83" t="s">
        <v>102</v>
      </c>
      <c r="I75" s="83"/>
      <c r="J75" s="83"/>
      <c r="K75" s="83" t="s">
        <v>564</v>
      </c>
      <c r="L75" s="77"/>
      <c r="M75" s="77">
        <v>0.13864979379943715</v>
      </c>
      <c r="N75" s="77"/>
      <c r="O75" s="82">
        <f t="shared" si="7"/>
        <v>0.01922376532062644</v>
      </c>
      <c r="P75" s="85"/>
      <c r="Q75" s="83"/>
      <c r="R75" s="83"/>
      <c r="S75" s="83"/>
      <c r="T75" s="83"/>
      <c r="U75" s="83">
        <v>10</v>
      </c>
      <c r="V75" s="77">
        <f t="shared" si="6"/>
        <v>9</v>
      </c>
    </row>
    <row r="76" spans="1:22" ht="12.75">
      <c r="A76" s="83" t="s">
        <v>265</v>
      </c>
      <c r="B76" s="83"/>
      <c r="C76" s="83">
        <v>1996</v>
      </c>
      <c r="D76" s="77" t="s">
        <v>860</v>
      </c>
      <c r="E76" s="89" t="s">
        <v>472</v>
      </c>
      <c r="F76" s="83" t="s">
        <v>267</v>
      </c>
      <c r="G76" s="83"/>
      <c r="H76" s="83" t="s">
        <v>102</v>
      </c>
      <c r="I76" s="83"/>
      <c r="J76" s="83"/>
      <c r="K76" s="83" t="s">
        <v>564</v>
      </c>
      <c r="L76" s="77"/>
      <c r="M76" s="77">
        <v>0.48838458537586904</v>
      </c>
      <c r="N76" s="77"/>
      <c r="O76" s="82">
        <f t="shared" si="7"/>
        <v>0.23851950323275953</v>
      </c>
      <c r="P76" s="85"/>
      <c r="Q76" s="83"/>
      <c r="R76" s="83"/>
      <c r="S76" s="83"/>
      <c r="T76" s="83"/>
      <c r="U76" s="83">
        <v>10</v>
      </c>
      <c r="V76" s="77">
        <f t="shared" si="6"/>
        <v>9</v>
      </c>
    </row>
    <row r="77" spans="1:22" ht="12.75">
      <c r="A77" s="83" t="s">
        <v>265</v>
      </c>
      <c r="B77" s="83"/>
      <c r="C77" s="83">
        <v>1996</v>
      </c>
      <c r="D77" s="77" t="s">
        <v>820</v>
      </c>
      <c r="E77" s="89" t="s">
        <v>472</v>
      </c>
      <c r="F77" s="83" t="s">
        <v>267</v>
      </c>
      <c r="G77" s="83"/>
      <c r="H77" s="83" t="s">
        <v>102</v>
      </c>
      <c r="I77" s="83"/>
      <c r="J77" s="83"/>
      <c r="K77" s="83" t="s">
        <v>564</v>
      </c>
      <c r="L77" s="77"/>
      <c r="M77" s="13">
        <v>0.2003410590583034</v>
      </c>
      <c r="N77" s="77"/>
      <c r="O77" s="82">
        <f t="shared" si="7"/>
        <v>0.04013653994460261</v>
      </c>
      <c r="P77" s="85"/>
      <c r="Q77" s="83"/>
      <c r="R77" s="83"/>
      <c r="S77" s="83"/>
      <c r="T77" s="83"/>
      <c r="U77" s="83">
        <v>10</v>
      </c>
      <c r="V77" s="77">
        <f t="shared" si="6"/>
        <v>9</v>
      </c>
    </row>
    <row r="78" spans="1:22" ht="12.75">
      <c r="A78" s="83" t="s">
        <v>265</v>
      </c>
      <c r="B78" s="83"/>
      <c r="C78" s="92">
        <v>1996</v>
      </c>
      <c r="D78" s="77" t="s">
        <v>1114</v>
      </c>
      <c r="E78" s="89" t="s">
        <v>472</v>
      </c>
      <c r="F78" s="83" t="s">
        <v>267</v>
      </c>
      <c r="G78" s="83"/>
      <c r="H78" s="83" t="s">
        <v>102</v>
      </c>
      <c r="I78" s="83"/>
      <c r="J78" s="83"/>
      <c r="K78" s="83" t="s">
        <v>564</v>
      </c>
      <c r="L78" s="77"/>
      <c r="M78" s="77">
        <v>0.3922789727253526</v>
      </c>
      <c r="N78" s="77"/>
      <c r="O78" s="82">
        <f t="shared" si="7"/>
        <v>0.15388279244245795</v>
      </c>
      <c r="P78" s="85"/>
      <c r="Q78" s="83"/>
      <c r="R78" s="83"/>
      <c r="S78" s="83"/>
      <c r="T78" s="83"/>
      <c r="U78" s="83">
        <v>10</v>
      </c>
      <c r="V78" s="77">
        <f t="shared" si="6"/>
        <v>9</v>
      </c>
    </row>
    <row r="79" spans="1:22" ht="12.75">
      <c r="A79" s="83" t="s">
        <v>265</v>
      </c>
      <c r="B79" s="83"/>
      <c r="C79" s="92">
        <v>1996</v>
      </c>
      <c r="D79" s="77" t="s">
        <v>268</v>
      </c>
      <c r="E79" s="89" t="s">
        <v>472</v>
      </c>
      <c r="F79" s="83" t="s">
        <v>267</v>
      </c>
      <c r="G79" s="83"/>
      <c r="H79" s="83" t="s">
        <v>102</v>
      </c>
      <c r="I79" s="83"/>
      <c r="J79" s="83"/>
      <c r="K79" s="83" t="s">
        <v>564</v>
      </c>
      <c r="L79" s="77"/>
      <c r="M79" s="77">
        <v>0.15068139829118596</v>
      </c>
      <c r="N79" s="77"/>
      <c r="O79" s="82">
        <f t="shared" si="7"/>
        <v>0.022704883790987018</v>
      </c>
      <c r="P79" s="85"/>
      <c r="Q79" s="83"/>
      <c r="R79" s="83"/>
      <c r="S79" s="83"/>
      <c r="T79" s="83"/>
      <c r="U79" s="83">
        <v>10</v>
      </c>
      <c r="V79" s="77">
        <f t="shared" si="6"/>
        <v>9</v>
      </c>
    </row>
    <row r="80" spans="1:22" ht="12.75">
      <c r="A80" s="83" t="s">
        <v>664</v>
      </c>
      <c r="B80" s="83"/>
      <c r="C80" s="83">
        <v>1991</v>
      </c>
      <c r="D80" s="89" t="s">
        <v>675</v>
      </c>
      <c r="E80" s="89" t="s">
        <v>472</v>
      </c>
      <c r="F80" s="83" t="s">
        <v>677</v>
      </c>
      <c r="G80" s="83"/>
      <c r="H80" s="83" t="s">
        <v>676</v>
      </c>
      <c r="I80" s="83" t="s">
        <v>457</v>
      </c>
      <c r="J80" s="83"/>
      <c r="K80" s="83" t="s">
        <v>971</v>
      </c>
      <c r="L80" s="83" t="s">
        <v>672</v>
      </c>
      <c r="M80" s="83">
        <v>0.2544086275234387</v>
      </c>
      <c r="N80" s="83">
        <v>0.2544086275234387</v>
      </c>
      <c r="O80" s="82">
        <f aca="true" t="shared" si="8" ref="O80:P85">(M80)^2</f>
        <v>0.06472374975835976</v>
      </c>
      <c r="P80" s="82">
        <f t="shared" si="8"/>
        <v>0.06472374975835976</v>
      </c>
      <c r="Q80" s="83" t="s">
        <v>87</v>
      </c>
      <c r="R80" s="83" t="s">
        <v>797</v>
      </c>
      <c r="S80" s="83" t="s">
        <v>606</v>
      </c>
      <c r="T80" s="83">
        <v>0.9824</v>
      </c>
      <c r="U80" s="83">
        <v>6</v>
      </c>
      <c r="V80" s="77">
        <f t="shared" si="6"/>
        <v>5</v>
      </c>
    </row>
    <row r="81" spans="1:22" ht="12.75">
      <c r="A81" s="83" t="s">
        <v>664</v>
      </c>
      <c r="B81" s="83"/>
      <c r="C81" s="92">
        <v>1991</v>
      </c>
      <c r="D81" s="89" t="s">
        <v>675</v>
      </c>
      <c r="E81" s="89" t="s">
        <v>472</v>
      </c>
      <c r="F81" s="83" t="s">
        <v>677</v>
      </c>
      <c r="G81" s="83"/>
      <c r="H81" s="83" t="s">
        <v>676</v>
      </c>
      <c r="I81" s="83" t="s">
        <v>457</v>
      </c>
      <c r="J81" s="83"/>
      <c r="K81" s="83" t="s">
        <v>971</v>
      </c>
      <c r="L81" s="83" t="s">
        <v>669</v>
      </c>
      <c r="M81" s="83">
        <v>0.3234080662944296</v>
      </c>
      <c r="N81" s="83">
        <v>0.6454663916949027</v>
      </c>
      <c r="O81" s="82">
        <f t="shared" si="8"/>
        <v>0.10459277734430217</v>
      </c>
      <c r="P81" s="82">
        <f t="shared" si="8"/>
        <v>0.41662686280763755</v>
      </c>
      <c r="Q81" s="83" t="s">
        <v>87</v>
      </c>
      <c r="R81" s="83" t="s">
        <v>797</v>
      </c>
      <c r="S81" s="83" t="s">
        <v>796</v>
      </c>
      <c r="T81" s="83">
        <v>0.8607</v>
      </c>
      <c r="U81" s="83">
        <v>6</v>
      </c>
      <c r="V81" s="77">
        <f t="shared" si="6"/>
        <v>5</v>
      </c>
    </row>
    <row r="82" spans="1:22" ht="12.75">
      <c r="A82" s="83" t="s">
        <v>664</v>
      </c>
      <c r="B82" s="83"/>
      <c r="C82" s="83">
        <v>1991</v>
      </c>
      <c r="D82" s="89" t="s">
        <v>675</v>
      </c>
      <c r="E82" s="89" t="s">
        <v>472</v>
      </c>
      <c r="F82" s="83" t="s">
        <v>677</v>
      </c>
      <c r="G82" s="83"/>
      <c r="H82" s="83" t="s">
        <v>676</v>
      </c>
      <c r="I82" s="83" t="s">
        <v>457</v>
      </c>
      <c r="J82" s="83"/>
      <c r="K82" s="83" t="s">
        <v>970</v>
      </c>
      <c r="L82" s="83" t="s">
        <v>673</v>
      </c>
      <c r="M82" s="83">
        <v>0.27219193368100136</v>
      </c>
      <c r="N82" s="83">
        <v>0.7893358538796452</v>
      </c>
      <c r="O82" s="82">
        <f t="shared" si="8"/>
        <v>0.07408844876100265</v>
      </c>
      <c r="P82" s="82">
        <f t="shared" si="8"/>
        <v>0.6230510902199087</v>
      </c>
      <c r="Q82" s="83" t="s">
        <v>87</v>
      </c>
      <c r="R82" s="83" t="s">
        <v>797</v>
      </c>
      <c r="S82" s="83" t="s">
        <v>604</v>
      </c>
      <c r="T82" s="83">
        <v>0.8667</v>
      </c>
      <c r="U82" s="83">
        <v>6</v>
      </c>
      <c r="V82" s="77">
        <f t="shared" si="6"/>
        <v>5</v>
      </c>
    </row>
    <row r="83" spans="1:22" ht="12.75">
      <c r="A83" s="83" t="s">
        <v>664</v>
      </c>
      <c r="B83" s="83"/>
      <c r="C83" s="92">
        <v>1991</v>
      </c>
      <c r="D83" s="89" t="s">
        <v>675</v>
      </c>
      <c r="E83" s="89" t="s">
        <v>472</v>
      </c>
      <c r="F83" s="83" t="s">
        <v>677</v>
      </c>
      <c r="G83" s="83"/>
      <c r="H83" s="83" t="s">
        <v>676</v>
      </c>
      <c r="I83" s="83" t="s">
        <v>457</v>
      </c>
      <c r="J83" s="83"/>
      <c r="K83" s="83" t="s">
        <v>970</v>
      </c>
      <c r="L83" s="83" t="s">
        <v>670</v>
      </c>
      <c r="M83" s="83">
        <v>0.2859420197002022</v>
      </c>
      <c r="N83" s="83">
        <v>0.5181559271431514</v>
      </c>
      <c r="O83" s="82">
        <f t="shared" si="8"/>
        <v>0.08176283863023083</v>
      </c>
      <c r="P83" s="82">
        <f t="shared" si="8"/>
        <v>0.2684855648335788</v>
      </c>
      <c r="Q83" s="83" t="s">
        <v>87</v>
      </c>
      <c r="R83" s="83" t="s">
        <v>797</v>
      </c>
      <c r="S83" s="83" t="s">
        <v>605</v>
      </c>
      <c r="T83" s="83">
        <v>0.9744</v>
      </c>
      <c r="U83" s="83">
        <v>6</v>
      </c>
      <c r="V83" s="77">
        <f t="shared" si="6"/>
        <v>5</v>
      </c>
    </row>
    <row r="84" spans="1:22" ht="12.75">
      <c r="A84" s="83" t="s">
        <v>664</v>
      </c>
      <c r="B84" s="83"/>
      <c r="C84" s="97">
        <v>1991</v>
      </c>
      <c r="D84" s="89" t="s">
        <v>675</v>
      </c>
      <c r="E84" s="89" t="s">
        <v>472</v>
      </c>
      <c r="F84" s="83" t="s">
        <v>677</v>
      </c>
      <c r="G84" s="83"/>
      <c r="H84" s="83" t="s">
        <v>676</v>
      </c>
      <c r="I84" s="83" t="s">
        <v>457</v>
      </c>
      <c r="J84" s="83"/>
      <c r="K84" s="83" t="s">
        <v>1129</v>
      </c>
      <c r="L84" s="83" t="s">
        <v>671</v>
      </c>
      <c r="M84" s="83">
        <v>0.15508439489780182</v>
      </c>
      <c r="N84" s="83">
        <v>0.39335296949905396</v>
      </c>
      <c r="O84" s="82">
        <f t="shared" si="8"/>
        <v>0.02405116954081734</v>
      </c>
      <c r="P84" s="82">
        <f t="shared" si="8"/>
        <v>0.15472655861372367</v>
      </c>
      <c r="Q84" s="83" t="s">
        <v>87</v>
      </c>
      <c r="R84" s="83" t="s">
        <v>797</v>
      </c>
      <c r="S84" s="83" t="s">
        <v>604</v>
      </c>
      <c r="T84" s="83">
        <v>0.85</v>
      </c>
      <c r="U84" s="83">
        <v>6</v>
      </c>
      <c r="V84" s="77">
        <f t="shared" si="6"/>
        <v>5</v>
      </c>
    </row>
    <row r="85" spans="1:22" ht="12.75">
      <c r="A85" s="83" t="s">
        <v>664</v>
      </c>
      <c r="B85" s="83"/>
      <c r="C85" s="92">
        <v>1991</v>
      </c>
      <c r="D85" s="89" t="s">
        <v>675</v>
      </c>
      <c r="E85" s="89" t="s">
        <v>472</v>
      </c>
      <c r="F85" s="83" t="s">
        <v>677</v>
      </c>
      <c r="G85" s="83"/>
      <c r="H85" s="83" t="s">
        <v>676</v>
      </c>
      <c r="I85" s="83" t="s">
        <v>457</v>
      </c>
      <c r="J85" s="83"/>
      <c r="K85" s="83" t="s">
        <v>1129</v>
      </c>
      <c r="L85" s="83" t="s">
        <v>674</v>
      </c>
      <c r="M85" s="83">
        <v>0.11668679780411766</v>
      </c>
      <c r="N85" s="83">
        <v>0.7591401524012327</v>
      </c>
      <c r="O85" s="82">
        <f t="shared" si="8"/>
        <v>0.013615808781779037</v>
      </c>
      <c r="P85" s="82">
        <f t="shared" si="8"/>
        <v>0.5762937709877668</v>
      </c>
      <c r="Q85" s="83" t="s">
        <v>87</v>
      </c>
      <c r="R85" s="83" t="s">
        <v>797</v>
      </c>
      <c r="S85" s="83" t="s">
        <v>95</v>
      </c>
      <c r="T85" s="83">
        <v>0.889</v>
      </c>
      <c r="U85" s="83">
        <v>6</v>
      </c>
      <c r="V85" s="77">
        <f t="shared" si="6"/>
        <v>5</v>
      </c>
    </row>
    <row r="86" spans="1:22" ht="12.75">
      <c r="A86" s="77" t="s">
        <v>269</v>
      </c>
      <c r="B86" s="77"/>
      <c r="C86" s="77">
        <v>1996</v>
      </c>
      <c r="D86" s="77" t="s">
        <v>431</v>
      </c>
      <c r="E86" s="77" t="s">
        <v>432</v>
      </c>
      <c r="F86" s="77" t="s">
        <v>433</v>
      </c>
      <c r="G86" s="77" t="s">
        <v>434</v>
      </c>
      <c r="H86" s="77" t="s">
        <v>102</v>
      </c>
      <c r="I86" s="77"/>
      <c r="J86" s="77" t="s">
        <v>94</v>
      </c>
      <c r="K86" s="77" t="s">
        <v>971</v>
      </c>
      <c r="L86" s="77" t="s">
        <v>436</v>
      </c>
      <c r="M86" s="77">
        <v>0.33233213140594714</v>
      </c>
      <c r="N86" s="77">
        <v>0.5458689128255342</v>
      </c>
      <c r="O86" s="78">
        <f aca="true" t="shared" si="9" ref="O86:P88">M86^2</f>
        <v>0.11044464556481971</v>
      </c>
      <c r="P86" s="78">
        <f t="shared" si="9"/>
        <v>0.29797286998933065</v>
      </c>
      <c r="Q86" s="77" t="s">
        <v>87</v>
      </c>
      <c r="R86" s="77" t="s">
        <v>797</v>
      </c>
      <c r="S86" s="77"/>
      <c r="T86" s="77"/>
      <c r="U86" s="77">
        <v>5</v>
      </c>
      <c r="V86" s="77">
        <f t="shared" si="6"/>
        <v>4</v>
      </c>
    </row>
    <row r="87" spans="1:22" ht="12.75">
      <c r="A87" s="77" t="s">
        <v>269</v>
      </c>
      <c r="B87" s="77"/>
      <c r="C87" s="77">
        <v>1996</v>
      </c>
      <c r="D87" s="77" t="s">
        <v>431</v>
      </c>
      <c r="E87" s="77" t="s">
        <v>432</v>
      </c>
      <c r="F87" s="77" t="s">
        <v>433</v>
      </c>
      <c r="G87" s="77" t="s">
        <v>434</v>
      </c>
      <c r="H87" s="77" t="s">
        <v>102</v>
      </c>
      <c r="I87" s="77"/>
      <c r="J87" s="77" t="s">
        <v>94</v>
      </c>
      <c r="K87" s="77" t="s">
        <v>970</v>
      </c>
      <c r="L87" s="77" t="s">
        <v>436</v>
      </c>
      <c r="M87" s="77">
        <v>0.3578979311385969</v>
      </c>
      <c r="N87" s="77">
        <v>0.6883160174666534</v>
      </c>
      <c r="O87" s="78">
        <f t="shared" si="9"/>
        <v>0.12809092911328787</v>
      </c>
      <c r="P87" s="78">
        <f t="shared" si="9"/>
        <v>0.4737789399011543</v>
      </c>
      <c r="Q87" s="77" t="s">
        <v>87</v>
      </c>
      <c r="R87" s="77" t="s">
        <v>797</v>
      </c>
      <c r="S87" s="77"/>
      <c r="T87" s="77"/>
      <c r="U87" s="77">
        <v>5</v>
      </c>
      <c r="V87" s="77">
        <f t="shared" si="6"/>
        <v>4</v>
      </c>
    </row>
    <row r="88" spans="1:22" ht="12.75">
      <c r="A88" s="77" t="s">
        <v>269</v>
      </c>
      <c r="B88" s="77"/>
      <c r="C88" s="77">
        <v>1996</v>
      </c>
      <c r="D88" s="77" t="s">
        <v>431</v>
      </c>
      <c r="E88" s="77" t="s">
        <v>432</v>
      </c>
      <c r="F88" s="77" t="s">
        <v>433</v>
      </c>
      <c r="G88" s="77" t="s">
        <v>434</v>
      </c>
      <c r="H88" s="77" t="s">
        <v>102</v>
      </c>
      <c r="I88" s="77"/>
      <c r="J88" s="77" t="s">
        <v>94</v>
      </c>
      <c r="K88" s="77" t="s">
        <v>1129</v>
      </c>
      <c r="L88" s="77" t="s">
        <v>436</v>
      </c>
      <c r="M88" s="77">
        <v>0.0799375541130616</v>
      </c>
      <c r="N88" s="77">
        <v>0.20038630152628006</v>
      </c>
      <c r="O88" s="78">
        <f t="shared" si="9"/>
        <v>0.006390012557578651</v>
      </c>
      <c r="P88" s="78">
        <f t="shared" si="9"/>
        <v>0.040154669839381235</v>
      </c>
      <c r="Q88" s="77" t="s">
        <v>87</v>
      </c>
      <c r="R88" s="77" t="s">
        <v>797</v>
      </c>
      <c r="S88" s="77"/>
      <c r="T88" s="77"/>
      <c r="U88" s="77">
        <v>5</v>
      </c>
      <c r="V88" s="77">
        <f t="shared" si="6"/>
        <v>4</v>
      </c>
    </row>
    <row r="89" spans="1:22" ht="63.75">
      <c r="A89" s="92" t="s">
        <v>270</v>
      </c>
      <c r="B89" s="92" t="s">
        <v>339</v>
      </c>
      <c r="C89" s="92">
        <v>1994</v>
      </c>
      <c r="D89" s="94" t="s">
        <v>820</v>
      </c>
      <c r="E89" s="94" t="s">
        <v>472</v>
      </c>
      <c r="F89" s="92" t="s">
        <v>271</v>
      </c>
      <c r="G89" s="92"/>
      <c r="H89" s="92" t="s">
        <v>102</v>
      </c>
      <c r="I89" s="92"/>
      <c r="J89" s="92" t="s">
        <v>358</v>
      </c>
      <c r="K89" s="92" t="s">
        <v>564</v>
      </c>
      <c r="L89" s="92" t="s">
        <v>272</v>
      </c>
      <c r="M89" s="95">
        <v>0.2984008917104881</v>
      </c>
      <c r="N89" s="77">
        <v>0.653563455121489</v>
      </c>
      <c r="O89" s="82">
        <f aca="true" t="shared" si="10" ref="O89:P93">(M89)^2</f>
        <v>0.08904309217361446</v>
      </c>
      <c r="P89" s="82">
        <f t="shared" si="10"/>
        <v>0.4271451898703385</v>
      </c>
      <c r="Q89" s="95"/>
      <c r="R89" s="95" t="s">
        <v>344</v>
      </c>
      <c r="S89" s="92" t="s">
        <v>345</v>
      </c>
      <c r="T89" s="92">
        <v>0.912</v>
      </c>
      <c r="U89" s="92">
        <v>10</v>
      </c>
      <c r="V89" s="77">
        <f t="shared" si="6"/>
        <v>9</v>
      </c>
    </row>
    <row r="90" spans="1:22" ht="12.75">
      <c r="A90" s="83" t="s">
        <v>1056</v>
      </c>
      <c r="B90" s="83"/>
      <c r="C90" s="92">
        <v>1995</v>
      </c>
      <c r="D90" s="89" t="s">
        <v>820</v>
      </c>
      <c r="E90" s="89" t="s">
        <v>472</v>
      </c>
      <c r="F90" s="83" t="s">
        <v>273</v>
      </c>
      <c r="G90" s="83"/>
      <c r="H90" s="83" t="s">
        <v>102</v>
      </c>
      <c r="I90" s="83" t="s">
        <v>457</v>
      </c>
      <c r="J90" s="83" t="s">
        <v>94</v>
      </c>
      <c r="K90" s="83" t="s">
        <v>564</v>
      </c>
      <c r="L90" s="83" t="s">
        <v>744</v>
      </c>
      <c r="M90" s="83">
        <v>0.6133689606063948</v>
      </c>
      <c r="N90" s="83">
        <v>0.9780752880932441</v>
      </c>
      <c r="O90" s="82">
        <f t="shared" si="10"/>
        <v>0.3762214818353691</v>
      </c>
      <c r="P90" s="82">
        <f t="shared" si="10"/>
        <v>0.9566312691786824</v>
      </c>
      <c r="Q90" s="83" t="s">
        <v>745</v>
      </c>
      <c r="R90" s="83"/>
      <c r="S90" s="83" t="s">
        <v>743</v>
      </c>
      <c r="T90" s="83">
        <v>0.92</v>
      </c>
      <c r="U90" s="83">
        <v>10</v>
      </c>
      <c r="V90" s="77">
        <f t="shared" si="6"/>
        <v>9</v>
      </c>
    </row>
    <row r="91" spans="1:22" ht="12.75">
      <c r="A91" s="83" t="s">
        <v>202</v>
      </c>
      <c r="B91" s="83"/>
      <c r="C91" s="92">
        <v>2004</v>
      </c>
      <c r="D91" s="89" t="s">
        <v>431</v>
      </c>
      <c r="E91" s="89" t="s">
        <v>472</v>
      </c>
      <c r="F91" s="83" t="s">
        <v>274</v>
      </c>
      <c r="G91" s="83"/>
      <c r="H91" s="83" t="s">
        <v>102</v>
      </c>
      <c r="I91" s="83" t="s">
        <v>457</v>
      </c>
      <c r="J91" s="83" t="s">
        <v>103</v>
      </c>
      <c r="K91" s="83" t="s">
        <v>564</v>
      </c>
      <c r="L91" s="83" t="s">
        <v>105</v>
      </c>
      <c r="M91" s="83">
        <v>0.39499621544410024</v>
      </c>
      <c r="N91" s="83">
        <v>0.6468687548583406</v>
      </c>
      <c r="O91" s="82">
        <f t="shared" si="10"/>
        <v>0.15602201021516204</v>
      </c>
      <c r="P91" s="82">
        <f t="shared" si="10"/>
        <v>0.41843918601197994</v>
      </c>
      <c r="Q91" s="83" t="s">
        <v>106</v>
      </c>
      <c r="R91" s="83"/>
      <c r="S91" s="83" t="s">
        <v>1123</v>
      </c>
      <c r="T91" s="83">
        <v>0.955</v>
      </c>
      <c r="U91" s="83">
        <v>31</v>
      </c>
      <c r="V91" s="77">
        <f t="shared" si="6"/>
        <v>30</v>
      </c>
    </row>
    <row r="92" spans="1:22" ht="12.75">
      <c r="A92" s="83" t="s">
        <v>202</v>
      </c>
      <c r="B92" s="83"/>
      <c r="C92" s="92">
        <v>2004</v>
      </c>
      <c r="D92" s="89" t="s">
        <v>1023</v>
      </c>
      <c r="E92" s="89" t="s">
        <v>473</v>
      </c>
      <c r="F92" s="83" t="s">
        <v>274</v>
      </c>
      <c r="G92" s="83"/>
      <c r="H92" s="83" t="s">
        <v>102</v>
      </c>
      <c r="I92" s="83" t="s">
        <v>457</v>
      </c>
      <c r="J92" s="83" t="s">
        <v>103</v>
      </c>
      <c r="K92" s="83" t="s">
        <v>564</v>
      </c>
      <c r="L92" s="83" t="s">
        <v>1122</v>
      </c>
      <c r="M92" s="83">
        <v>0.33690438127179745</v>
      </c>
      <c r="N92" s="83">
        <v>0.8178033959748078</v>
      </c>
      <c r="O92" s="82">
        <f t="shared" si="10"/>
        <v>0.11350456212013266</v>
      </c>
      <c r="P92" s="82">
        <f t="shared" si="10"/>
        <v>0.6688023944679282</v>
      </c>
      <c r="Q92" s="83" t="s">
        <v>106</v>
      </c>
      <c r="R92" s="83"/>
      <c r="S92" s="83" t="s">
        <v>95</v>
      </c>
      <c r="T92" s="83">
        <v>0.9925</v>
      </c>
      <c r="U92" s="83">
        <v>31</v>
      </c>
      <c r="V92" s="77">
        <f t="shared" si="6"/>
        <v>30</v>
      </c>
    </row>
    <row r="93" spans="1:22" ht="12.75">
      <c r="A93" s="83" t="s">
        <v>202</v>
      </c>
      <c r="B93" s="83"/>
      <c r="C93" s="93">
        <v>2004</v>
      </c>
      <c r="D93" s="89" t="s">
        <v>111</v>
      </c>
      <c r="E93" s="89" t="s">
        <v>473</v>
      </c>
      <c r="F93" s="83" t="s">
        <v>274</v>
      </c>
      <c r="G93" s="83"/>
      <c r="H93" s="83" t="s">
        <v>570</v>
      </c>
      <c r="I93" s="83" t="s">
        <v>458</v>
      </c>
      <c r="J93" s="83" t="s">
        <v>103</v>
      </c>
      <c r="K93" s="83" t="s">
        <v>564</v>
      </c>
      <c r="L93" s="83" t="s">
        <v>112</v>
      </c>
      <c r="M93" s="83">
        <v>0.16609720980800327</v>
      </c>
      <c r="N93" s="83">
        <v>0.37851116959631065</v>
      </c>
      <c r="O93" s="82">
        <f t="shared" si="10"/>
        <v>0.027588283106003857</v>
      </c>
      <c r="P93" s="82">
        <f t="shared" si="10"/>
        <v>0.14327070550916704</v>
      </c>
      <c r="Q93" s="83" t="s">
        <v>106</v>
      </c>
      <c r="R93" s="83"/>
      <c r="S93" s="83" t="s">
        <v>95</v>
      </c>
      <c r="T93" s="83">
        <v>0.9655</v>
      </c>
      <c r="U93" s="83">
        <v>20</v>
      </c>
      <c r="V93" s="77">
        <f t="shared" si="6"/>
        <v>19</v>
      </c>
    </row>
    <row r="94" spans="1:22" ht="63.75">
      <c r="A94" s="92" t="s">
        <v>275</v>
      </c>
      <c r="B94" s="92" t="s">
        <v>365</v>
      </c>
      <c r="C94" s="92">
        <v>1994</v>
      </c>
      <c r="D94" s="94" t="s">
        <v>276</v>
      </c>
      <c r="E94" s="94" t="s">
        <v>473</v>
      </c>
      <c r="F94" s="92" t="s">
        <v>277</v>
      </c>
      <c r="G94" s="92" t="s">
        <v>208</v>
      </c>
      <c r="H94" s="92" t="s">
        <v>209</v>
      </c>
      <c r="I94" s="92"/>
      <c r="J94" s="92" t="s">
        <v>358</v>
      </c>
      <c r="K94" s="92" t="s">
        <v>564</v>
      </c>
      <c r="L94" s="92" t="s">
        <v>210</v>
      </c>
      <c r="M94" s="95">
        <v>0.239641942676683</v>
      </c>
      <c r="N94" s="98">
        <v>0.239641942676683</v>
      </c>
      <c r="O94" s="82">
        <f aca="true" t="shared" si="11" ref="O94:O123">(M94)^2</f>
        <v>0.05742826068985463</v>
      </c>
      <c r="P94" s="82"/>
      <c r="Q94" s="95" t="s">
        <v>620</v>
      </c>
      <c r="R94" s="92" t="s">
        <v>344</v>
      </c>
      <c r="S94" s="95" t="s">
        <v>211</v>
      </c>
      <c r="T94" s="95">
        <v>0.951</v>
      </c>
      <c r="U94" s="92">
        <v>7</v>
      </c>
      <c r="V94" s="77">
        <f t="shared" si="6"/>
        <v>6</v>
      </c>
    </row>
    <row r="95" spans="1:22" ht="51">
      <c r="A95" s="92" t="s">
        <v>275</v>
      </c>
      <c r="B95" s="92" t="s">
        <v>365</v>
      </c>
      <c r="C95" s="92">
        <v>1994</v>
      </c>
      <c r="D95" s="94" t="s">
        <v>212</v>
      </c>
      <c r="E95" s="94" t="s">
        <v>473</v>
      </c>
      <c r="F95" s="92" t="s">
        <v>213</v>
      </c>
      <c r="G95" s="92" t="s">
        <v>208</v>
      </c>
      <c r="H95" s="92" t="s">
        <v>209</v>
      </c>
      <c r="I95" s="92"/>
      <c r="J95" s="92" t="s">
        <v>358</v>
      </c>
      <c r="K95" s="92" t="s">
        <v>564</v>
      </c>
      <c r="L95" s="92" t="s">
        <v>214</v>
      </c>
      <c r="M95" s="95">
        <v>0.419</v>
      </c>
      <c r="N95" s="98">
        <v>0.714</v>
      </c>
      <c r="O95" s="82">
        <f t="shared" si="11"/>
        <v>0.175561</v>
      </c>
      <c r="P95" s="82">
        <f>(N95)^2</f>
        <v>0.5097959999999999</v>
      </c>
      <c r="Q95" s="95" t="s">
        <v>620</v>
      </c>
      <c r="R95" s="92" t="s">
        <v>254</v>
      </c>
      <c r="S95" s="95" t="s">
        <v>211</v>
      </c>
      <c r="T95" s="95">
        <v>0.972</v>
      </c>
      <c r="U95" s="92">
        <v>7</v>
      </c>
      <c r="V95" s="77">
        <f t="shared" si="6"/>
        <v>6</v>
      </c>
    </row>
    <row r="96" spans="1:22" ht="63.75">
      <c r="A96" s="92" t="s">
        <v>275</v>
      </c>
      <c r="B96" s="92" t="s">
        <v>365</v>
      </c>
      <c r="C96" s="92">
        <v>1994</v>
      </c>
      <c r="D96" s="94" t="s">
        <v>215</v>
      </c>
      <c r="E96" s="94" t="s">
        <v>473</v>
      </c>
      <c r="F96" s="92" t="s">
        <v>216</v>
      </c>
      <c r="G96" s="92" t="s">
        <v>208</v>
      </c>
      <c r="H96" s="92" t="s">
        <v>209</v>
      </c>
      <c r="I96" s="92"/>
      <c r="J96" s="92" t="s">
        <v>358</v>
      </c>
      <c r="K96" s="92" t="s">
        <v>564</v>
      </c>
      <c r="L96" s="92" t="s">
        <v>217</v>
      </c>
      <c r="M96" s="95">
        <v>0.21918527542890795</v>
      </c>
      <c r="N96" s="92"/>
      <c r="O96" s="82">
        <f t="shared" si="11"/>
        <v>0.04804218496484624</v>
      </c>
      <c r="P96" s="82"/>
      <c r="Q96" s="95" t="s">
        <v>620</v>
      </c>
      <c r="R96" s="92" t="s">
        <v>344</v>
      </c>
      <c r="S96" s="95" t="s">
        <v>218</v>
      </c>
      <c r="T96" s="95">
        <v>0.96</v>
      </c>
      <c r="U96" s="92">
        <v>7</v>
      </c>
      <c r="V96" s="77">
        <f t="shared" si="6"/>
        <v>6</v>
      </c>
    </row>
    <row r="97" spans="1:22" ht="76.5">
      <c r="A97" s="92" t="s">
        <v>275</v>
      </c>
      <c r="B97" s="92" t="s">
        <v>365</v>
      </c>
      <c r="C97" s="92">
        <v>1994</v>
      </c>
      <c r="D97" s="94" t="s">
        <v>219</v>
      </c>
      <c r="E97" s="94" t="s">
        <v>473</v>
      </c>
      <c r="F97" s="92" t="s">
        <v>220</v>
      </c>
      <c r="G97" s="92" t="s">
        <v>208</v>
      </c>
      <c r="H97" s="92" t="s">
        <v>209</v>
      </c>
      <c r="I97" s="92"/>
      <c r="J97" s="92" t="s">
        <v>358</v>
      </c>
      <c r="K97" s="92" t="s">
        <v>564</v>
      </c>
      <c r="L97" s="92" t="s">
        <v>221</v>
      </c>
      <c r="M97" s="95">
        <v>0.1596270216200475</v>
      </c>
      <c r="N97" s="92"/>
      <c r="O97" s="82">
        <f t="shared" si="11"/>
        <v>0.02548078603128711</v>
      </c>
      <c r="P97" s="82"/>
      <c r="Q97" s="95" t="s">
        <v>620</v>
      </c>
      <c r="R97" s="92" t="s">
        <v>344</v>
      </c>
      <c r="S97" s="95" t="s">
        <v>222</v>
      </c>
      <c r="T97" s="95">
        <v>0.974</v>
      </c>
      <c r="U97" s="92">
        <v>7</v>
      </c>
      <c r="V97" s="77">
        <f t="shared" si="6"/>
        <v>6</v>
      </c>
    </row>
    <row r="98" spans="1:22" ht="114.75">
      <c r="A98" s="92" t="s">
        <v>223</v>
      </c>
      <c r="B98" s="92" t="s">
        <v>365</v>
      </c>
      <c r="C98" s="92">
        <v>1991</v>
      </c>
      <c r="D98" s="94" t="s">
        <v>1023</v>
      </c>
      <c r="E98" s="94" t="s">
        <v>473</v>
      </c>
      <c r="F98" s="92" t="s">
        <v>224</v>
      </c>
      <c r="G98" s="92" t="s">
        <v>225</v>
      </c>
      <c r="H98" s="92" t="s">
        <v>102</v>
      </c>
      <c r="I98" s="92" t="s">
        <v>226</v>
      </c>
      <c r="J98" s="92" t="s">
        <v>358</v>
      </c>
      <c r="K98" s="92" t="s">
        <v>564</v>
      </c>
      <c r="L98" s="92" t="s">
        <v>227</v>
      </c>
      <c r="M98" s="95">
        <v>0.239</v>
      </c>
      <c r="N98" s="92">
        <v>0.49</v>
      </c>
      <c r="O98" s="82">
        <f t="shared" si="11"/>
        <v>0.057121</v>
      </c>
      <c r="P98" s="82">
        <f>(N98)^2</f>
        <v>0.24009999999999998</v>
      </c>
      <c r="Q98" s="95"/>
      <c r="R98" s="95" t="s">
        <v>228</v>
      </c>
      <c r="S98" s="92"/>
      <c r="T98" s="92">
        <v>0.977</v>
      </c>
      <c r="U98" s="92">
        <v>110</v>
      </c>
      <c r="V98" s="77">
        <f t="shared" si="6"/>
        <v>109</v>
      </c>
    </row>
    <row r="99" spans="1:22" ht="114.75">
      <c r="A99" s="92" t="s">
        <v>223</v>
      </c>
      <c r="B99" s="92" t="s">
        <v>365</v>
      </c>
      <c r="C99" s="92">
        <v>1991</v>
      </c>
      <c r="D99" s="94" t="s">
        <v>111</v>
      </c>
      <c r="E99" s="94" t="s">
        <v>473</v>
      </c>
      <c r="F99" s="92" t="s">
        <v>224</v>
      </c>
      <c r="G99" s="92" t="s">
        <v>225</v>
      </c>
      <c r="H99" s="92" t="s">
        <v>229</v>
      </c>
      <c r="I99" s="92" t="s">
        <v>230</v>
      </c>
      <c r="J99" s="92" t="s">
        <v>358</v>
      </c>
      <c r="K99" s="92" t="s">
        <v>564</v>
      </c>
      <c r="L99" s="92" t="s">
        <v>231</v>
      </c>
      <c r="M99" s="95">
        <v>0.198</v>
      </c>
      <c r="N99" s="92"/>
      <c r="O99" s="82">
        <f t="shared" si="11"/>
        <v>0.039204</v>
      </c>
      <c r="P99" s="82"/>
      <c r="Q99" s="95"/>
      <c r="R99" s="95" t="s">
        <v>228</v>
      </c>
      <c r="S99" s="92" t="s">
        <v>232</v>
      </c>
      <c r="T99" s="92">
        <v>0.977</v>
      </c>
      <c r="U99" s="92">
        <v>138</v>
      </c>
      <c r="V99" s="77">
        <f t="shared" si="6"/>
        <v>137</v>
      </c>
    </row>
    <row r="100" spans="1:22" ht="12.75">
      <c r="A100" s="83" t="s">
        <v>1058</v>
      </c>
      <c r="B100" s="83"/>
      <c r="C100" s="83">
        <v>1994</v>
      </c>
      <c r="D100" s="89" t="s">
        <v>1114</v>
      </c>
      <c r="E100" s="89" t="s">
        <v>472</v>
      </c>
      <c r="F100" s="83" t="s">
        <v>883</v>
      </c>
      <c r="G100" s="83" t="s">
        <v>890</v>
      </c>
      <c r="H100" s="83" t="s">
        <v>885</v>
      </c>
      <c r="I100" s="83" t="s">
        <v>460</v>
      </c>
      <c r="J100" s="83" t="s">
        <v>103</v>
      </c>
      <c r="K100" s="83" t="s">
        <v>971</v>
      </c>
      <c r="L100" s="83" t="s">
        <v>1053</v>
      </c>
      <c r="M100" s="83">
        <v>0.2828402011758679</v>
      </c>
      <c r="N100" s="83">
        <v>0.4591269806272097</v>
      </c>
      <c r="O100" s="82">
        <f t="shared" si="11"/>
        <v>0.07999857940120542</v>
      </c>
      <c r="P100" s="82">
        <f aca="true" t="shared" si="12" ref="P100:P123">(N100)^2</f>
        <v>0.21079758433985818</v>
      </c>
      <c r="Q100" s="83" t="s">
        <v>892</v>
      </c>
      <c r="R100" s="83"/>
      <c r="S100" s="83" t="s">
        <v>107</v>
      </c>
      <c r="T100" s="83">
        <v>0.8926</v>
      </c>
      <c r="U100" s="83">
        <v>5</v>
      </c>
      <c r="V100" s="77">
        <f t="shared" si="6"/>
        <v>4</v>
      </c>
    </row>
    <row r="101" spans="1:22" ht="12.75">
      <c r="A101" s="83" t="s">
        <v>1058</v>
      </c>
      <c r="B101" s="83"/>
      <c r="C101" s="92">
        <v>1994</v>
      </c>
      <c r="D101" s="89" t="s">
        <v>1114</v>
      </c>
      <c r="E101" s="89" t="s">
        <v>472</v>
      </c>
      <c r="F101" s="83" t="s">
        <v>233</v>
      </c>
      <c r="G101" s="83" t="s">
        <v>890</v>
      </c>
      <c r="H101" s="83" t="s">
        <v>885</v>
      </c>
      <c r="I101" s="83" t="s">
        <v>460</v>
      </c>
      <c r="J101" s="83" t="s">
        <v>103</v>
      </c>
      <c r="K101" s="83" t="s">
        <v>970</v>
      </c>
      <c r="L101" s="83" t="s">
        <v>884</v>
      </c>
      <c r="M101" s="83">
        <v>0.5496900146953541</v>
      </c>
      <c r="N101" s="83">
        <v>0.9260535444604613</v>
      </c>
      <c r="O101" s="82">
        <f t="shared" si="11"/>
        <v>0.3021591122557786</v>
      </c>
      <c r="P101" s="82">
        <f t="shared" si="12"/>
        <v>0.8575751672077836</v>
      </c>
      <c r="Q101" s="83" t="s">
        <v>892</v>
      </c>
      <c r="R101" s="83"/>
      <c r="S101" s="83" t="s">
        <v>95</v>
      </c>
      <c r="T101" s="83">
        <v>0.9436</v>
      </c>
      <c r="U101" s="83">
        <v>5</v>
      </c>
      <c r="V101" s="77">
        <f t="shared" si="6"/>
        <v>4</v>
      </c>
    </row>
    <row r="102" spans="1:22" ht="12.75">
      <c r="A102" s="83" t="s">
        <v>1058</v>
      </c>
      <c r="B102" s="83"/>
      <c r="C102" s="92">
        <v>1996</v>
      </c>
      <c r="D102" s="89" t="s">
        <v>1114</v>
      </c>
      <c r="E102" s="89" t="s">
        <v>472</v>
      </c>
      <c r="F102" s="83" t="s">
        <v>233</v>
      </c>
      <c r="G102" s="83" t="s">
        <v>890</v>
      </c>
      <c r="H102" s="83" t="s">
        <v>885</v>
      </c>
      <c r="I102" s="83" t="s">
        <v>460</v>
      </c>
      <c r="J102" s="83" t="s">
        <v>103</v>
      </c>
      <c r="K102" s="83" t="s">
        <v>1129</v>
      </c>
      <c r="L102" s="83" t="s">
        <v>568</v>
      </c>
      <c r="M102" s="83">
        <v>0.2959061938488162</v>
      </c>
      <c r="N102" s="83">
        <v>0.6241601596748839</v>
      </c>
      <c r="O102" s="82">
        <f t="shared" si="11"/>
        <v>0.08756047555809321</v>
      </c>
      <c r="P102" s="82">
        <f t="shared" si="12"/>
        <v>0.3895759049253766</v>
      </c>
      <c r="Q102" s="83" t="s">
        <v>892</v>
      </c>
      <c r="R102" s="83"/>
      <c r="S102" s="83" t="s">
        <v>95</v>
      </c>
      <c r="T102" s="83">
        <v>0.9774</v>
      </c>
      <c r="U102" s="83">
        <v>5</v>
      </c>
      <c r="V102" s="77">
        <f t="shared" si="6"/>
        <v>4</v>
      </c>
    </row>
    <row r="103" spans="1:22" ht="12.75">
      <c r="A103" s="83" t="s">
        <v>1054</v>
      </c>
      <c r="B103" s="83"/>
      <c r="C103" s="83">
        <v>1996</v>
      </c>
      <c r="D103" s="89" t="s">
        <v>857</v>
      </c>
      <c r="E103" s="89" t="s">
        <v>472</v>
      </c>
      <c r="F103" s="83" t="s">
        <v>941</v>
      </c>
      <c r="G103" s="83" t="s">
        <v>1068</v>
      </c>
      <c r="H103" s="83" t="s">
        <v>102</v>
      </c>
      <c r="I103" s="83" t="s">
        <v>457</v>
      </c>
      <c r="J103" s="83" t="s">
        <v>94</v>
      </c>
      <c r="K103" s="83" t="s">
        <v>970</v>
      </c>
      <c r="L103" s="83" t="s">
        <v>1065</v>
      </c>
      <c r="M103" s="83">
        <v>0.17800587942852877</v>
      </c>
      <c r="N103" s="83">
        <v>0.3281082406690957</v>
      </c>
      <c r="O103" s="82">
        <f t="shared" si="11"/>
        <v>0.03168609311112392</v>
      </c>
      <c r="P103" s="82">
        <f t="shared" si="12"/>
        <v>0.10765501759496923</v>
      </c>
      <c r="Q103" s="83" t="s">
        <v>931</v>
      </c>
      <c r="R103" s="83"/>
      <c r="S103" s="83" t="s">
        <v>1069</v>
      </c>
      <c r="T103" s="83">
        <v>0.974</v>
      </c>
      <c r="U103" s="83">
        <v>15</v>
      </c>
      <c r="V103" s="77">
        <f t="shared" si="6"/>
        <v>14</v>
      </c>
    </row>
    <row r="104" spans="1:22" ht="12.75">
      <c r="A104" s="83" t="s">
        <v>1054</v>
      </c>
      <c r="B104" s="83"/>
      <c r="C104" s="83">
        <v>1996</v>
      </c>
      <c r="D104" s="89" t="s">
        <v>857</v>
      </c>
      <c r="E104" s="89" t="s">
        <v>472</v>
      </c>
      <c r="F104" s="83" t="s">
        <v>941</v>
      </c>
      <c r="G104" s="83" t="s">
        <v>1068</v>
      </c>
      <c r="H104" s="83" t="s">
        <v>102</v>
      </c>
      <c r="I104" s="83" t="s">
        <v>457</v>
      </c>
      <c r="J104" s="83" t="s">
        <v>94</v>
      </c>
      <c r="K104" s="83" t="s">
        <v>970</v>
      </c>
      <c r="L104" s="83" t="s">
        <v>1065</v>
      </c>
      <c r="M104" s="83">
        <v>0.1598448328589221</v>
      </c>
      <c r="N104" s="83">
        <v>0.332740563676516</v>
      </c>
      <c r="O104" s="82">
        <f t="shared" si="11"/>
        <v>0.02555037059169674</v>
      </c>
      <c r="P104" s="82">
        <f t="shared" si="12"/>
        <v>0.1107162827157656</v>
      </c>
      <c r="Q104" s="83" t="s">
        <v>931</v>
      </c>
      <c r="R104" s="83"/>
      <c r="S104" s="83" t="s">
        <v>1069</v>
      </c>
      <c r="T104" s="83">
        <v>0.9405</v>
      </c>
      <c r="U104" s="83">
        <v>35</v>
      </c>
      <c r="V104" s="77">
        <f t="shared" si="6"/>
        <v>34</v>
      </c>
    </row>
    <row r="105" spans="1:22" ht="12.75">
      <c r="A105" s="83" t="s">
        <v>1054</v>
      </c>
      <c r="B105" s="83"/>
      <c r="C105" s="83">
        <v>1996</v>
      </c>
      <c r="D105" s="89" t="s">
        <v>860</v>
      </c>
      <c r="E105" s="89" t="s">
        <v>472</v>
      </c>
      <c r="F105" s="83" t="s">
        <v>942</v>
      </c>
      <c r="G105" s="83" t="s">
        <v>1068</v>
      </c>
      <c r="H105" s="83" t="s">
        <v>102</v>
      </c>
      <c r="I105" s="83" t="s">
        <v>457</v>
      </c>
      <c r="J105" s="83" t="s">
        <v>94</v>
      </c>
      <c r="K105" s="83" t="s">
        <v>970</v>
      </c>
      <c r="L105" s="83" t="s">
        <v>944</v>
      </c>
      <c r="M105" s="83">
        <v>0.17099906863545225</v>
      </c>
      <c r="N105" s="83">
        <v>0.33055626484313205</v>
      </c>
      <c r="O105" s="82">
        <f t="shared" si="11"/>
        <v>0.02924068147419211</v>
      </c>
      <c r="P105" s="82">
        <f t="shared" si="12"/>
        <v>0.10926744422704286</v>
      </c>
      <c r="Q105" s="83" t="s">
        <v>931</v>
      </c>
      <c r="R105" s="83"/>
      <c r="S105" s="83" t="s">
        <v>1069</v>
      </c>
      <c r="T105" s="83">
        <v>0.977</v>
      </c>
      <c r="U105" s="83">
        <v>42</v>
      </c>
      <c r="V105" s="77">
        <f t="shared" si="6"/>
        <v>41</v>
      </c>
    </row>
    <row r="106" spans="1:22" ht="12.75">
      <c r="A106" s="83" t="s">
        <v>1054</v>
      </c>
      <c r="B106" s="83"/>
      <c r="C106" s="92">
        <v>1996</v>
      </c>
      <c r="D106" s="89" t="s">
        <v>1114</v>
      </c>
      <c r="E106" s="89" t="s">
        <v>472</v>
      </c>
      <c r="F106" s="83" t="s">
        <v>941</v>
      </c>
      <c r="G106" s="83" t="s">
        <v>1068</v>
      </c>
      <c r="H106" s="83" t="s">
        <v>102</v>
      </c>
      <c r="I106" s="83" t="s">
        <v>457</v>
      </c>
      <c r="J106" s="83" t="s">
        <v>94</v>
      </c>
      <c r="K106" s="83" t="s">
        <v>970</v>
      </c>
      <c r="L106" s="83" t="s">
        <v>955</v>
      </c>
      <c r="M106" s="83">
        <v>0.22166929341441977</v>
      </c>
      <c r="N106" s="83">
        <v>0.562796923654943</v>
      </c>
      <c r="O106" s="82">
        <f t="shared" si="11"/>
        <v>0.04913727564284812</v>
      </c>
      <c r="P106" s="82">
        <f t="shared" si="12"/>
        <v>0.3167403772754678</v>
      </c>
      <c r="Q106" s="83" t="s">
        <v>931</v>
      </c>
      <c r="R106" s="83"/>
      <c r="S106" s="83" t="s">
        <v>95</v>
      </c>
      <c r="T106" s="83">
        <v>0.9773</v>
      </c>
      <c r="U106" s="83">
        <v>34</v>
      </c>
      <c r="V106" s="77">
        <f t="shared" si="6"/>
        <v>33</v>
      </c>
    </row>
    <row r="107" spans="1:22" ht="204">
      <c r="A107" s="99" t="s">
        <v>234</v>
      </c>
      <c r="B107" s="83"/>
      <c r="C107" s="83">
        <v>1999</v>
      </c>
      <c r="D107" s="89" t="s">
        <v>431</v>
      </c>
      <c r="E107" s="89" t="s">
        <v>472</v>
      </c>
      <c r="F107" s="83" t="s">
        <v>235</v>
      </c>
      <c r="G107" s="83"/>
      <c r="H107" s="99" t="s">
        <v>236</v>
      </c>
      <c r="I107" s="83"/>
      <c r="J107" s="83"/>
      <c r="K107" s="99" t="s">
        <v>564</v>
      </c>
      <c r="L107" s="83" t="s">
        <v>237</v>
      </c>
      <c r="M107" s="99">
        <v>0.2257557308171944</v>
      </c>
      <c r="N107" s="77">
        <v>0.4970655201262618</v>
      </c>
      <c r="O107" s="82">
        <f t="shared" si="11"/>
        <v>0.05096564999680554</v>
      </c>
      <c r="P107" s="82">
        <f t="shared" si="12"/>
        <v>0.2470741312983912</v>
      </c>
      <c r="Q107" s="83" t="s">
        <v>87</v>
      </c>
      <c r="R107" s="83"/>
      <c r="S107" s="83"/>
      <c r="T107" s="83"/>
      <c r="U107" s="99">
        <v>8</v>
      </c>
      <c r="V107" s="77">
        <f t="shared" si="6"/>
        <v>7</v>
      </c>
    </row>
    <row r="108" spans="1:22" ht="12.75">
      <c r="A108" s="83" t="s">
        <v>470</v>
      </c>
      <c r="B108" s="83"/>
      <c r="C108" s="92">
        <v>1998</v>
      </c>
      <c r="D108" s="89" t="s">
        <v>1114</v>
      </c>
      <c r="E108" s="89" t="s">
        <v>472</v>
      </c>
      <c r="F108" s="83" t="s">
        <v>467</v>
      </c>
      <c r="G108" s="83" t="s">
        <v>466</v>
      </c>
      <c r="H108" s="83" t="s">
        <v>102</v>
      </c>
      <c r="I108" s="83" t="s">
        <v>469</v>
      </c>
      <c r="J108" s="83" t="s">
        <v>987</v>
      </c>
      <c r="K108" s="83" t="s">
        <v>971</v>
      </c>
      <c r="L108" s="83" t="s">
        <v>468</v>
      </c>
      <c r="M108" s="83">
        <v>0.3454143281649492</v>
      </c>
      <c r="N108" s="83">
        <v>0.8771046139287105</v>
      </c>
      <c r="O108" s="96">
        <f t="shared" si="11"/>
        <v>0.11931105810164323</v>
      </c>
      <c r="P108" s="96">
        <f t="shared" si="12"/>
        <v>0.7693125037750324</v>
      </c>
      <c r="Q108" s="83" t="s">
        <v>892</v>
      </c>
      <c r="R108" s="83"/>
      <c r="S108" s="83" t="s">
        <v>95</v>
      </c>
      <c r="T108" s="83">
        <v>0.9262</v>
      </c>
      <c r="U108" s="83">
        <v>15</v>
      </c>
      <c r="V108" s="77">
        <f t="shared" si="6"/>
        <v>14</v>
      </c>
    </row>
    <row r="109" spans="1:22" ht="12.75">
      <c r="A109" s="83" t="s">
        <v>470</v>
      </c>
      <c r="B109" s="83"/>
      <c r="C109" s="92">
        <v>1998</v>
      </c>
      <c r="D109" s="89" t="s">
        <v>1114</v>
      </c>
      <c r="E109" s="89" t="s">
        <v>472</v>
      </c>
      <c r="F109" s="83" t="s">
        <v>467</v>
      </c>
      <c r="G109" s="83" t="s">
        <v>466</v>
      </c>
      <c r="H109" s="83" t="s">
        <v>102</v>
      </c>
      <c r="I109" s="83" t="s">
        <v>469</v>
      </c>
      <c r="J109" s="83" t="s">
        <v>987</v>
      </c>
      <c r="K109" s="83" t="s">
        <v>970</v>
      </c>
      <c r="L109" s="83" t="s">
        <v>468</v>
      </c>
      <c r="M109" s="83">
        <v>0.2285376619148625</v>
      </c>
      <c r="N109" s="83">
        <v>0.609030826590394</v>
      </c>
      <c r="O109" s="96">
        <f t="shared" si="11"/>
        <v>0.05222946291351199</v>
      </c>
      <c r="P109" s="96">
        <f t="shared" si="12"/>
        <v>0.37091854773737853</v>
      </c>
      <c r="Q109" s="83" t="s">
        <v>892</v>
      </c>
      <c r="R109" s="83"/>
      <c r="S109" s="83" t="s">
        <v>95</v>
      </c>
      <c r="T109" s="83">
        <v>0.915</v>
      </c>
      <c r="U109" s="83">
        <v>15</v>
      </c>
      <c r="V109" s="77">
        <f t="shared" si="6"/>
        <v>14</v>
      </c>
    </row>
    <row r="110" spans="1:22" ht="12.75">
      <c r="A110" s="83" t="s">
        <v>470</v>
      </c>
      <c r="B110" s="83"/>
      <c r="C110" s="92">
        <v>1998</v>
      </c>
      <c r="D110" s="89" t="s">
        <v>1114</v>
      </c>
      <c r="E110" s="89" t="s">
        <v>472</v>
      </c>
      <c r="F110" s="83" t="s">
        <v>467</v>
      </c>
      <c r="G110" s="83" t="s">
        <v>466</v>
      </c>
      <c r="H110" s="83" t="s">
        <v>102</v>
      </c>
      <c r="I110" s="83" t="s">
        <v>469</v>
      </c>
      <c r="J110" s="83" t="s">
        <v>987</v>
      </c>
      <c r="K110" s="83" t="s">
        <v>1129</v>
      </c>
      <c r="L110" s="83" t="s">
        <v>468</v>
      </c>
      <c r="M110" s="83">
        <v>0.342741450745548</v>
      </c>
      <c r="N110" s="83">
        <v>0.6862088436899128</v>
      </c>
      <c r="O110" s="96">
        <f t="shared" si="11"/>
        <v>0.11747170205916292</v>
      </c>
      <c r="P110" s="96">
        <f t="shared" si="12"/>
        <v>0.4708825771582471</v>
      </c>
      <c r="Q110" s="83" t="s">
        <v>892</v>
      </c>
      <c r="R110" s="83"/>
      <c r="S110" s="83" t="s">
        <v>95</v>
      </c>
      <c r="T110" s="83">
        <v>0.9414</v>
      </c>
      <c r="U110" s="83">
        <v>15</v>
      </c>
      <c r="V110" s="77">
        <f t="shared" si="6"/>
        <v>14</v>
      </c>
    </row>
    <row r="111" spans="1:22" ht="12.75">
      <c r="A111" s="83" t="s">
        <v>1109</v>
      </c>
      <c r="B111" s="83"/>
      <c r="C111" s="92">
        <v>2003</v>
      </c>
      <c r="D111" s="89" t="s">
        <v>477</v>
      </c>
      <c r="E111" s="89" t="s">
        <v>472</v>
      </c>
      <c r="F111" s="83" t="s">
        <v>1084</v>
      </c>
      <c r="G111" s="83"/>
      <c r="H111" s="83" t="s">
        <v>102</v>
      </c>
      <c r="I111" s="83" t="s">
        <v>457</v>
      </c>
      <c r="J111" s="83" t="s">
        <v>94</v>
      </c>
      <c r="K111" s="83" t="s">
        <v>564</v>
      </c>
      <c r="L111" s="83" t="s">
        <v>41</v>
      </c>
      <c r="M111" s="83">
        <v>0.30655782139093446</v>
      </c>
      <c r="N111" s="83">
        <v>0.6660318455085299</v>
      </c>
      <c r="O111" s="96">
        <f t="shared" si="11"/>
        <v>0.09397769785595607</v>
      </c>
      <c r="P111" s="96">
        <f t="shared" si="12"/>
        <v>0.44359841923149823</v>
      </c>
      <c r="Q111" s="83" t="s">
        <v>827</v>
      </c>
      <c r="R111" s="83"/>
      <c r="S111" s="83" t="s">
        <v>95</v>
      </c>
      <c r="T111" s="83">
        <v>0.968</v>
      </c>
      <c r="U111" s="83">
        <v>11</v>
      </c>
      <c r="V111" s="77">
        <f t="shared" si="6"/>
        <v>10</v>
      </c>
    </row>
    <row r="112" spans="1:22" ht="12.75">
      <c r="A112" s="83" t="s">
        <v>1109</v>
      </c>
      <c r="B112" s="83"/>
      <c r="C112" s="92">
        <v>2003</v>
      </c>
      <c r="D112" s="89" t="s">
        <v>477</v>
      </c>
      <c r="E112" s="89" t="s">
        <v>472</v>
      </c>
      <c r="F112" s="83" t="s">
        <v>1084</v>
      </c>
      <c r="G112" s="83"/>
      <c r="H112" s="83" t="s">
        <v>102</v>
      </c>
      <c r="I112" s="83" t="s">
        <v>457</v>
      </c>
      <c r="J112" s="83" t="s">
        <v>94</v>
      </c>
      <c r="K112" s="83" t="s">
        <v>564</v>
      </c>
      <c r="L112" s="83" t="s">
        <v>37</v>
      </c>
      <c r="M112" s="83">
        <v>0.32010249133955565</v>
      </c>
      <c r="N112" s="83">
        <v>0.737357852555823</v>
      </c>
      <c r="O112" s="96">
        <f t="shared" si="11"/>
        <v>0.1024656049617903</v>
      </c>
      <c r="P112" s="96">
        <f t="shared" si="12"/>
        <v>0.5436966027257348</v>
      </c>
      <c r="Q112" s="83" t="s">
        <v>827</v>
      </c>
      <c r="R112" s="83"/>
      <c r="S112" s="83" t="s">
        <v>86</v>
      </c>
      <c r="T112" s="83">
        <v>0.9646</v>
      </c>
      <c r="U112" s="83">
        <v>11</v>
      </c>
      <c r="V112" s="77">
        <f t="shared" si="6"/>
        <v>10</v>
      </c>
    </row>
    <row r="113" spans="1:22" ht="12.75">
      <c r="A113" s="83" t="s">
        <v>174</v>
      </c>
      <c r="B113" s="83"/>
      <c r="C113" s="83">
        <v>1997</v>
      </c>
      <c r="D113" s="89" t="s">
        <v>474</v>
      </c>
      <c r="E113" s="89" t="s">
        <v>472</v>
      </c>
      <c r="F113" s="83" t="s">
        <v>4</v>
      </c>
      <c r="G113" s="83"/>
      <c r="H113" s="83" t="s">
        <v>102</v>
      </c>
      <c r="I113" s="83" t="s">
        <v>457</v>
      </c>
      <c r="J113" s="83" t="s">
        <v>94</v>
      </c>
      <c r="K113" s="83" t="s">
        <v>971</v>
      </c>
      <c r="L113" s="83" t="s">
        <v>96</v>
      </c>
      <c r="M113" s="83">
        <v>0.15014525847528185</v>
      </c>
      <c r="N113" s="83">
        <v>0.37771720708987405</v>
      </c>
      <c r="O113" s="96">
        <f t="shared" si="11"/>
        <v>0.022543598642609197</v>
      </c>
      <c r="P113" s="96">
        <f t="shared" si="12"/>
        <v>0.1426702885317748</v>
      </c>
      <c r="Q113" s="83" t="s">
        <v>87</v>
      </c>
      <c r="R113" s="83" t="s">
        <v>1128</v>
      </c>
      <c r="S113" s="83" t="s">
        <v>95</v>
      </c>
      <c r="T113" s="83">
        <v>0.94</v>
      </c>
      <c r="U113" s="83">
        <v>6</v>
      </c>
      <c r="V113" s="77">
        <f t="shared" si="6"/>
        <v>5</v>
      </c>
    </row>
    <row r="114" spans="1:22" ht="12.75">
      <c r="A114" s="83" t="s">
        <v>174</v>
      </c>
      <c r="B114" s="83"/>
      <c r="C114" s="92">
        <v>1997</v>
      </c>
      <c r="D114" s="89" t="s">
        <v>474</v>
      </c>
      <c r="E114" s="89" t="s">
        <v>472</v>
      </c>
      <c r="F114" s="83" t="s">
        <v>4</v>
      </c>
      <c r="G114" s="83"/>
      <c r="H114" s="83" t="s">
        <v>102</v>
      </c>
      <c r="I114" s="83" t="s">
        <v>457</v>
      </c>
      <c r="J114" s="83" t="s">
        <v>94</v>
      </c>
      <c r="K114" s="83" t="s">
        <v>970</v>
      </c>
      <c r="L114" s="83" t="s">
        <v>97</v>
      </c>
      <c r="M114" s="83">
        <v>0.2451946739904093</v>
      </c>
      <c r="N114" s="83">
        <v>0.565039466722118</v>
      </c>
      <c r="O114" s="96">
        <f t="shared" si="11"/>
        <v>0.06012042815326311</v>
      </c>
      <c r="P114" s="96">
        <f t="shared" si="12"/>
        <v>0.3192695989536155</v>
      </c>
      <c r="Q114" s="83" t="s">
        <v>87</v>
      </c>
      <c r="R114" s="83" t="s">
        <v>1128</v>
      </c>
      <c r="S114" s="83" t="s">
        <v>95</v>
      </c>
      <c r="T114" s="83">
        <v>0.91</v>
      </c>
      <c r="U114" s="83">
        <v>6</v>
      </c>
      <c r="V114" s="77">
        <f t="shared" si="6"/>
        <v>5</v>
      </c>
    </row>
    <row r="115" spans="1:22" ht="12.75">
      <c r="A115" s="83" t="s">
        <v>174</v>
      </c>
      <c r="B115" s="83"/>
      <c r="C115" s="92">
        <v>1997</v>
      </c>
      <c r="D115" s="89" t="s">
        <v>474</v>
      </c>
      <c r="E115" s="89" t="s">
        <v>472</v>
      </c>
      <c r="F115" s="83" t="s">
        <v>4</v>
      </c>
      <c r="G115" s="83"/>
      <c r="H115" s="83" t="s">
        <v>102</v>
      </c>
      <c r="I115" s="83" t="s">
        <v>457</v>
      </c>
      <c r="J115" s="83" t="s">
        <v>94</v>
      </c>
      <c r="K115" s="83" t="s">
        <v>1129</v>
      </c>
      <c r="L115" s="83" t="s">
        <v>5</v>
      </c>
      <c r="M115" s="83">
        <v>0.25805022612062706</v>
      </c>
      <c r="N115" s="83">
        <v>0.6399698323925269</v>
      </c>
      <c r="O115" s="96">
        <f t="shared" si="11"/>
        <v>0.06658991920090676</v>
      </c>
      <c r="P115" s="96">
        <f t="shared" si="12"/>
        <v>0.409561386372519</v>
      </c>
      <c r="Q115" s="83" t="s">
        <v>87</v>
      </c>
      <c r="R115" s="83"/>
      <c r="S115" s="83" t="s">
        <v>7</v>
      </c>
      <c r="T115" s="83">
        <v>0.83</v>
      </c>
      <c r="U115" s="83">
        <v>6</v>
      </c>
      <c r="V115" s="77">
        <f t="shared" si="6"/>
        <v>5</v>
      </c>
    </row>
    <row r="116" spans="1:22" ht="12.75">
      <c r="A116" s="83" t="s">
        <v>621</v>
      </c>
      <c r="B116" s="83"/>
      <c r="C116" s="93">
        <v>2001</v>
      </c>
      <c r="D116" s="89" t="s">
        <v>1114</v>
      </c>
      <c r="E116" s="89" t="s">
        <v>472</v>
      </c>
      <c r="F116" s="83" t="s">
        <v>625</v>
      </c>
      <c r="G116" s="83" t="s">
        <v>626</v>
      </c>
      <c r="H116" s="83" t="s">
        <v>102</v>
      </c>
      <c r="I116" s="83" t="s">
        <v>457</v>
      </c>
      <c r="J116" s="83" t="s">
        <v>94</v>
      </c>
      <c r="K116" s="83" t="s">
        <v>971</v>
      </c>
      <c r="L116" s="83" t="s">
        <v>496</v>
      </c>
      <c r="M116" s="83">
        <v>0.17325470118555253</v>
      </c>
      <c r="N116" s="83">
        <v>0.4141118612539515</v>
      </c>
      <c r="O116" s="96">
        <f t="shared" si="11"/>
        <v>0.030017191482895098</v>
      </c>
      <c r="P116" s="96">
        <f t="shared" si="12"/>
        <v>0.17148863363121197</v>
      </c>
      <c r="Q116" s="83" t="s">
        <v>988</v>
      </c>
      <c r="R116" s="83" t="s">
        <v>508</v>
      </c>
      <c r="S116" s="83" t="s">
        <v>95</v>
      </c>
      <c r="T116" s="83">
        <v>0.8873</v>
      </c>
      <c r="U116" s="83">
        <v>6</v>
      </c>
      <c r="V116" s="77">
        <f t="shared" si="6"/>
        <v>5</v>
      </c>
    </row>
    <row r="117" spans="1:22" ht="12.75">
      <c r="A117" s="83" t="s">
        <v>621</v>
      </c>
      <c r="B117" s="83"/>
      <c r="C117" s="93">
        <v>2001</v>
      </c>
      <c r="D117" s="89" t="s">
        <v>1114</v>
      </c>
      <c r="E117" s="89" t="s">
        <v>472</v>
      </c>
      <c r="F117" s="83" t="s">
        <v>625</v>
      </c>
      <c r="G117" s="83" t="s">
        <v>626</v>
      </c>
      <c r="H117" s="83" t="s">
        <v>102</v>
      </c>
      <c r="I117" s="83" t="s">
        <v>457</v>
      </c>
      <c r="J117" s="83" t="s">
        <v>94</v>
      </c>
      <c r="K117" s="83" t="s">
        <v>970</v>
      </c>
      <c r="L117" s="83" t="s">
        <v>497</v>
      </c>
      <c r="M117" s="83">
        <v>0.21045674345119048</v>
      </c>
      <c r="N117" s="83">
        <v>0.4122151677216326</v>
      </c>
      <c r="O117" s="96">
        <f t="shared" si="11"/>
        <v>0.04429204086408021</v>
      </c>
      <c r="P117" s="96">
        <f t="shared" si="12"/>
        <v>0.16992134449977367</v>
      </c>
      <c r="Q117" s="83" t="s">
        <v>988</v>
      </c>
      <c r="R117" s="83" t="s">
        <v>797</v>
      </c>
      <c r="S117" s="83" t="s">
        <v>107</v>
      </c>
      <c r="T117" s="83">
        <v>0.9608</v>
      </c>
      <c r="U117" s="83">
        <v>6</v>
      </c>
      <c r="V117" s="77">
        <f t="shared" si="6"/>
        <v>5</v>
      </c>
    </row>
    <row r="118" spans="1:22" ht="12.75">
      <c r="A118" s="83" t="s">
        <v>621</v>
      </c>
      <c r="B118" s="83"/>
      <c r="C118" s="83">
        <v>2001</v>
      </c>
      <c r="D118" s="89" t="s">
        <v>1114</v>
      </c>
      <c r="E118" s="89" t="s">
        <v>472</v>
      </c>
      <c r="F118" s="83" t="s">
        <v>625</v>
      </c>
      <c r="G118" s="83" t="s">
        <v>626</v>
      </c>
      <c r="H118" s="83" t="s">
        <v>102</v>
      </c>
      <c r="I118" s="83" t="s">
        <v>457</v>
      </c>
      <c r="J118" s="83" t="s">
        <v>94</v>
      </c>
      <c r="K118" s="83" t="s">
        <v>1129</v>
      </c>
      <c r="L118" s="83" t="s">
        <v>498</v>
      </c>
      <c r="M118" s="83">
        <v>0.18744323419050868</v>
      </c>
      <c r="N118" s="83">
        <v>0.44758139115800216</v>
      </c>
      <c r="O118" s="96">
        <f t="shared" si="11"/>
        <v>0.03513496604379788</v>
      </c>
      <c r="P118" s="96">
        <f t="shared" si="12"/>
        <v>0.20032910171093254</v>
      </c>
      <c r="Q118" s="83" t="s">
        <v>988</v>
      </c>
      <c r="R118" s="83" t="s">
        <v>797</v>
      </c>
      <c r="S118" s="83" t="s">
        <v>95</v>
      </c>
      <c r="T118" s="83">
        <v>0.9356</v>
      </c>
      <c r="U118" s="83">
        <v>6</v>
      </c>
      <c r="V118" s="77">
        <f t="shared" si="6"/>
        <v>5</v>
      </c>
    </row>
    <row r="119" spans="1:22" ht="12.75">
      <c r="A119" s="83" t="s">
        <v>724</v>
      </c>
      <c r="B119" s="83"/>
      <c r="C119" s="83">
        <v>2002</v>
      </c>
      <c r="D119" s="89" t="s">
        <v>761</v>
      </c>
      <c r="E119" s="89" t="s">
        <v>472</v>
      </c>
      <c r="F119" s="83" t="s">
        <v>760</v>
      </c>
      <c r="G119" s="83"/>
      <c r="H119" s="83" t="s">
        <v>102</v>
      </c>
      <c r="I119" s="83" t="s">
        <v>457</v>
      </c>
      <c r="J119" s="83"/>
      <c r="K119" s="83" t="s">
        <v>971</v>
      </c>
      <c r="L119" s="83" t="s">
        <v>770</v>
      </c>
      <c r="M119" s="83">
        <v>0.18474816281414688</v>
      </c>
      <c r="N119" s="83">
        <v>0.46753045807994137</v>
      </c>
      <c r="O119" s="96">
        <f t="shared" si="11"/>
        <v>0.03413188366320252</v>
      </c>
      <c r="P119" s="96">
        <f t="shared" si="12"/>
        <v>0.21858472923243982</v>
      </c>
      <c r="Q119" s="83" t="s">
        <v>87</v>
      </c>
      <c r="R119" s="83" t="s">
        <v>1128</v>
      </c>
      <c r="S119" s="83" t="s">
        <v>86</v>
      </c>
      <c r="T119" s="83">
        <v>0.8861</v>
      </c>
      <c r="U119" s="83">
        <v>5</v>
      </c>
      <c r="V119" s="77">
        <f t="shared" si="6"/>
        <v>4</v>
      </c>
    </row>
    <row r="120" spans="1:22" ht="12.75">
      <c r="A120" s="83" t="s">
        <v>724</v>
      </c>
      <c r="B120" s="83"/>
      <c r="C120" s="92">
        <v>2002</v>
      </c>
      <c r="D120" s="89" t="s">
        <v>761</v>
      </c>
      <c r="E120" s="89" t="s">
        <v>472</v>
      </c>
      <c r="F120" s="83" t="s">
        <v>760</v>
      </c>
      <c r="G120" s="83"/>
      <c r="H120" s="83" t="s">
        <v>102</v>
      </c>
      <c r="I120" s="83" t="s">
        <v>457</v>
      </c>
      <c r="J120" s="83"/>
      <c r="K120" s="83" t="s">
        <v>970</v>
      </c>
      <c r="L120" s="83" t="s">
        <v>771</v>
      </c>
      <c r="M120" s="83">
        <v>0.36967689842730084</v>
      </c>
      <c r="N120" s="83">
        <v>0.8730695179241738</v>
      </c>
      <c r="O120" s="96">
        <f t="shared" si="11"/>
        <v>0.1366610092308289</v>
      </c>
      <c r="P120" s="96">
        <f t="shared" si="12"/>
        <v>0.7622503831283491</v>
      </c>
      <c r="Q120" s="83" t="s">
        <v>87</v>
      </c>
      <c r="R120" s="83" t="s">
        <v>1128</v>
      </c>
      <c r="S120" s="83" t="s">
        <v>86</v>
      </c>
      <c r="T120" s="83">
        <v>0.846</v>
      </c>
      <c r="U120" s="83">
        <v>5</v>
      </c>
      <c r="V120" s="77">
        <f t="shared" si="6"/>
        <v>4</v>
      </c>
    </row>
    <row r="121" spans="1:22" ht="12.75">
      <c r="A121" s="83" t="s">
        <v>724</v>
      </c>
      <c r="B121" s="83"/>
      <c r="C121" s="100">
        <v>2002</v>
      </c>
      <c r="D121" s="89" t="s">
        <v>761</v>
      </c>
      <c r="E121" s="89" t="s">
        <v>472</v>
      </c>
      <c r="F121" s="83" t="s">
        <v>760</v>
      </c>
      <c r="G121" s="83"/>
      <c r="H121" s="83" t="s">
        <v>102</v>
      </c>
      <c r="I121" s="83" t="s">
        <v>457</v>
      </c>
      <c r="J121" s="83"/>
      <c r="K121" s="83" t="s">
        <v>1129</v>
      </c>
      <c r="L121" s="83" t="s">
        <v>772</v>
      </c>
      <c r="M121" s="83">
        <v>0.43865139156172744</v>
      </c>
      <c r="N121" s="83">
        <v>1.1220430414566396</v>
      </c>
      <c r="O121" s="96">
        <f t="shared" si="11"/>
        <v>0.19241504331903994</v>
      </c>
      <c r="P121" s="96">
        <f t="shared" si="12"/>
        <v>1.2589805868812662</v>
      </c>
      <c r="Q121" s="83" t="s">
        <v>87</v>
      </c>
      <c r="R121" s="83" t="s">
        <v>1128</v>
      </c>
      <c r="S121" s="83" t="s">
        <v>86</v>
      </c>
      <c r="T121" s="83">
        <v>0.9396</v>
      </c>
      <c r="U121" s="83">
        <v>5</v>
      </c>
      <c r="V121" s="77">
        <f t="shared" si="6"/>
        <v>4</v>
      </c>
    </row>
    <row r="122" spans="1:22" ht="12.75">
      <c r="A122" s="83" t="s">
        <v>582</v>
      </c>
      <c r="B122" s="83"/>
      <c r="C122" s="92">
        <v>1995</v>
      </c>
      <c r="D122" s="89" t="s">
        <v>439</v>
      </c>
      <c r="E122" s="89" t="s">
        <v>472</v>
      </c>
      <c r="F122" s="83" t="s">
        <v>603</v>
      </c>
      <c r="G122" s="83"/>
      <c r="H122" s="83" t="s">
        <v>102</v>
      </c>
      <c r="I122" s="83" t="s">
        <v>457</v>
      </c>
      <c r="J122" s="83" t="s">
        <v>94</v>
      </c>
      <c r="K122" s="83" t="s">
        <v>564</v>
      </c>
      <c r="L122" s="83" t="s">
        <v>584</v>
      </c>
      <c r="M122" s="83">
        <v>0.4177721385051535</v>
      </c>
      <c r="N122" s="83">
        <v>0.8242203302265498</v>
      </c>
      <c r="O122" s="96">
        <f t="shared" si="11"/>
        <v>0.17453355971116916</v>
      </c>
      <c r="P122" s="96">
        <f t="shared" si="12"/>
        <v>0.6793391527587629</v>
      </c>
      <c r="Q122" s="83" t="s">
        <v>87</v>
      </c>
      <c r="R122" s="83" t="s">
        <v>797</v>
      </c>
      <c r="S122" s="83" t="s">
        <v>95</v>
      </c>
      <c r="T122" s="83">
        <v>0.9598</v>
      </c>
      <c r="U122" s="83">
        <v>10</v>
      </c>
      <c r="V122" s="77">
        <f t="shared" si="6"/>
        <v>9</v>
      </c>
    </row>
    <row r="123" spans="1:22" ht="12.75">
      <c r="A123" s="83" t="s">
        <v>1059</v>
      </c>
      <c r="B123" s="83"/>
      <c r="C123" s="83">
        <v>1993</v>
      </c>
      <c r="D123" s="89" t="s">
        <v>1114</v>
      </c>
      <c r="E123" s="89" t="s">
        <v>472</v>
      </c>
      <c r="F123" s="83" t="s">
        <v>752</v>
      </c>
      <c r="G123" s="83" t="s">
        <v>753</v>
      </c>
      <c r="H123" s="83" t="s">
        <v>102</v>
      </c>
      <c r="I123" s="83" t="s">
        <v>457</v>
      </c>
      <c r="J123" s="83" t="s">
        <v>987</v>
      </c>
      <c r="K123" s="83" t="s">
        <v>564</v>
      </c>
      <c r="L123" s="83" t="s">
        <v>754</v>
      </c>
      <c r="M123" s="83">
        <v>0.18329829910120357</v>
      </c>
      <c r="N123" s="83">
        <v>0.3659478402443733</v>
      </c>
      <c r="O123" s="96">
        <f t="shared" si="11"/>
        <v>0.03359826645339429</v>
      </c>
      <c r="P123" s="96">
        <f t="shared" si="12"/>
        <v>0.13391782177952138</v>
      </c>
      <c r="Q123" s="83"/>
      <c r="R123" s="83"/>
      <c r="S123" s="83" t="s">
        <v>811</v>
      </c>
      <c r="T123" s="83">
        <v>0.966</v>
      </c>
      <c r="U123" s="83">
        <v>29</v>
      </c>
      <c r="V123" s="77">
        <f t="shared" si="6"/>
        <v>28</v>
      </c>
    </row>
    <row r="124" spans="1:22" ht="12.75">
      <c r="A124" t="s">
        <v>330</v>
      </c>
      <c r="C124">
        <v>1997</v>
      </c>
      <c r="D124" t="s">
        <v>331</v>
      </c>
      <c r="E124" t="s">
        <v>332</v>
      </c>
      <c r="F124" t="s">
        <v>333</v>
      </c>
      <c r="G124" t="s">
        <v>441</v>
      </c>
      <c r="H124" t="s">
        <v>102</v>
      </c>
      <c r="J124" t="s">
        <v>94</v>
      </c>
      <c r="K124" t="s">
        <v>971</v>
      </c>
      <c r="L124" t="s">
        <v>334</v>
      </c>
      <c r="M124">
        <v>0.19511355708309333</v>
      </c>
      <c r="N124">
        <v>0.45780794102320066</v>
      </c>
      <c r="O124">
        <f aca="true" t="shared" si="13" ref="O124:P129">M124^2</f>
        <v>0.03806930015761752</v>
      </c>
      <c r="P124">
        <f t="shared" si="13"/>
        <v>0.20958811086390236</v>
      </c>
      <c r="Q124" s="83" t="s">
        <v>87</v>
      </c>
      <c r="R124" t="s">
        <v>797</v>
      </c>
      <c r="U124">
        <v>23</v>
      </c>
      <c r="V124">
        <v>22</v>
      </c>
    </row>
    <row r="125" spans="1:22" ht="12.75">
      <c r="A125" t="s">
        <v>330</v>
      </c>
      <c r="C125">
        <v>1997</v>
      </c>
      <c r="D125" t="s">
        <v>331</v>
      </c>
      <c r="E125" t="s">
        <v>332</v>
      </c>
      <c r="F125" t="s">
        <v>333</v>
      </c>
      <c r="G125" t="s">
        <v>441</v>
      </c>
      <c r="H125" t="s">
        <v>102</v>
      </c>
      <c r="J125" t="s">
        <v>94</v>
      </c>
      <c r="K125" t="s">
        <v>970</v>
      </c>
      <c r="L125" t="s">
        <v>334</v>
      </c>
      <c r="M125">
        <v>0.2244776309024686</v>
      </c>
      <c r="N125">
        <v>0.5289203275086045</v>
      </c>
      <c r="O125">
        <f t="shared" si="13"/>
        <v>0.05039020677558493</v>
      </c>
      <c r="P125">
        <f t="shared" si="13"/>
        <v>0.2797567128518095</v>
      </c>
      <c r="Q125" s="83" t="s">
        <v>87</v>
      </c>
      <c r="R125" t="s">
        <v>797</v>
      </c>
      <c r="U125">
        <v>23</v>
      </c>
      <c r="V125">
        <v>22</v>
      </c>
    </row>
    <row r="126" spans="1:22" ht="12.75">
      <c r="A126" t="s">
        <v>330</v>
      </c>
      <c r="C126">
        <v>1997</v>
      </c>
      <c r="D126" t="s">
        <v>331</v>
      </c>
      <c r="E126" t="s">
        <v>332</v>
      </c>
      <c r="F126" t="s">
        <v>333</v>
      </c>
      <c r="G126" t="s">
        <v>441</v>
      </c>
      <c r="H126" t="s">
        <v>102</v>
      </c>
      <c r="J126" t="s">
        <v>94</v>
      </c>
      <c r="K126" t="s">
        <v>1129</v>
      </c>
      <c r="L126" t="s">
        <v>334</v>
      </c>
      <c r="M126">
        <v>0.2535802260139028</v>
      </c>
      <c r="N126">
        <v>0.5469056534478172</v>
      </c>
      <c r="O126">
        <f t="shared" si="13"/>
        <v>0.06430293102526202</v>
      </c>
      <c r="P126">
        <f t="shared" si="13"/>
        <v>0.29910579377318386</v>
      </c>
      <c r="Q126" s="83" t="s">
        <v>87</v>
      </c>
      <c r="R126" t="s">
        <v>797</v>
      </c>
      <c r="U126">
        <v>23</v>
      </c>
      <c r="V126">
        <v>22</v>
      </c>
    </row>
    <row r="127" spans="1:22" ht="12.75">
      <c r="A127" t="s">
        <v>1026</v>
      </c>
      <c r="C127">
        <v>1998</v>
      </c>
      <c r="D127" t="s">
        <v>331</v>
      </c>
      <c r="E127" t="s">
        <v>332</v>
      </c>
      <c r="F127" t="s">
        <v>1027</v>
      </c>
      <c r="H127" t="s">
        <v>299</v>
      </c>
      <c r="J127" t="s">
        <v>94</v>
      </c>
      <c r="K127" t="s">
        <v>971</v>
      </c>
      <c r="L127" t="s">
        <v>334</v>
      </c>
      <c r="M127">
        <v>0.4031781940069082</v>
      </c>
      <c r="N127">
        <v>0.7580211008178124</v>
      </c>
      <c r="O127">
        <f t="shared" si="13"/>
        <v>0.16255265612267208</v>
      </c>
      <c r="P127">
        <f t="shared" si="13"/>
        <v>0.5745959892850481</v>
      </c>
      <c r="Q127" s="83" t="s">
        <v>87</v>
      </c>
      <c r="R127" t="s">
        <v>797</v>
      </c>
      <c r="U127">
        <v>6</v>
      </c>
      <c r="V127">
        <v>5</v>
      </c>
    </row>
    <row r="128" spans="1:22" ht="12.75">
      <c r="A128" t="s">
        <v>1026</v>
      </c>
      <c r="C128">
        <v>1998</v>
      </c>
      <c r="D128" t="s">
        <v>331</v>
      </c>
      <c r="E128" t="s">
        <v>332</v>
      </c>
      <c r="F128" t="s">
        <v>1027</v>
      </c>
      <c r="H128" t="s">
        <v>299</v>
      </c>
      <c r="J128" t="s">
        <v>94</v>
      </c>
      <c r="K128" t="s">
        <v>970</v>
      </c>
      <c r="L128" t="s">
        <v>334</v>
      </c>
      <c r="M128">
        <v>0.29593748193671304</v>
      </c>
      <c r="N128">
        <v>0.8496779053435203</v>
      </c>
      <c r="O128">
        <f t="shared" si="13"/>
        <v>0.08757899321504235</v>
      </c>
      <c r="P128">
        <f t="shared" si="13"/>
        <v>0.7219525428289522</v>
      </c>
      <c r="Q128" s="83" t="s">
        <v>87</v>
      </c>
      <c r="R128" t="s">
        <v>797</v>
      </c>
      <c r="U128">
        <v>6</v>
      </c>
      <c r="V128">
        <v>5</v>
      </c>
    </row>
    <row r="129" spans="1:22" ht="12.75">
      <c r="A129" t="s">
        <v>1026</v>
      </c>
      <c r="C129">
        <v>1998</v>
      </c>
      <c r="D129" t="s">
        <v>331</v>
      </c>
      <c r="E129" t="s">
        <v>332</v>
      </c>
      <c r="F129" t="s">
        <v>1027</v>
      </c>
      <c r="H129" t="s">
        <v>299</v>
      </c>
      <c r="J129" t="s">
        <v>94</v>
      </c>
      <c r="K129" t="s">
        <v>1129</v>
      </c>
      <c r="L129" t="s">
        <v>334</v>
      </c>
      <c r="M129">
        <v>0.5429247724427667</v>
      </c>
      <c r="N129" s="13">
        <v>0.9511960778447778</v>
      </c>
      <c r="O129">
        <f t="shared" si="13"/>
        <v>0.29476730853203004</v>
      </c>
      <c r="P129">
        <f t="shared" si="13"/>
        <v>0.9047739785072886</v>
      </c>
      <c r="Q129" s="83" t="s">
        <v>87</v>
      </c>
      <c r="R129" t="s">
        <v>797</v>
      </c>
      <c r="U129">
        <v>6</v>
      </c>
      <c r="V129">
        <v>5</v>
      </c>
    </row>
  </sheetData>
  <printOptions/>
  <pageMargins left="0.75" right="0.75" top="1" bottom="1" header="0.5" footer="0.5"/>
  <pageSetup orientation="portrait"/>
</worksheet>
</file>

<file path=xl/worksheets/sheet20.xml><?xml version="1.0" encoding="utf-8"?>
<worksheet xmlns="http://schemas.openxmlformats.org/spreadsheetml/2006/main" xmlns:r="http://schemas.openxmlformats.org/officeDocument/2006/relationships">
  <dimension ref="A1:AU79"/>
  <sheetViews>
    <sheetView workbookViewId="0" topLeftCell="A28">
      <selection activeCell="I53" sqref="I53:M53"/>
    </sheetView>
  </sheetViews>
  <sheetFormatPr defaultColWidth="9.140625" defaultRowHeight="12.75"/>
  <cols>
    <col min="1" max="4" width="8.8515625" style="0" customWidth="1"/>
    <col min="5" max="5" width="12.421875" style="0" customWidth="1"/>
    <col min="6" max="6" width="13.140625" style="0" customWidth="1"/>
    <col min="7" max="8" width="8.8515625" style="0" customWidth="1"/>
    <col min="9" max="9" width="16.28125" style="0" customWidth="1"/>
    <col min="10" max="11" width="8.8515625" style="0" customWidth="1"/>
    <col min="12" max="13" width="13.7109375" style="0" customWidth="1"/>
    <col min="14" max="14" width="11.8515625" style="0" customWidth="1"/>
    <col min="15" max="38" width="8.8515625" style="0" customWidth="1"/>
    <col min="39" max="39" width="14.00390625" style="0" customWidth="1"/>
    <col min="40" max="40" width="12.140625" style="0" customWidth="1"/>
    <col min="41" max="16384" width="8.8515625" style="0" customWidth="1"/>
  </cols>
  <sheetData>
    <row r="1" spans="1:17" ht="63.75">
      <c r="A1" s="7" t="s">
        <v>69</v>
      </c>
      <c r="B1" s="7" t="s">
        <v>57</v>
      </c>
      <c r="C1" s="7" t="s">
        <v>58</v>
      </c>
      <c r="D1" s="7" t="s">
        <v>59</v>
      </c>
      <c r="E1" s="7" t="s">
        <v>60</v>
      </c>
      <c r="F1" s="7" t="s">
        <v>92</v>
      </c>
      <c r="G1" s="7" t="s">
        <v>61</v>
      </c>
      <c r="H1" s="7" t="s">
        <v>62</v>
      </c>
      <c r="I1" s="7" t="s">
        <v>63</v>
      </c>
      <c r="J1" s="8" t="s">
        <v>64</v>
      </c>
      <c r="K1" s="8" t="s">
        <v>138</v>
      </c>
      <c r="L1" s="7" t="s">
        <v>65</v>
      </c>
      <c r="M1" s="7" t="s">
        <v>894</v>
      </c>
      <c r="N1" s="7" t="s">
        <v>66</v>
      </c>
      <c r="O1" s="7" t="s">
        <v>85</v>
      </c>
      <c r="P1" s="7" t="s">
        <v>67</v>
      </c>
      <c r="Q1" s="7" t="s">
        <v>1037</v>
      </c>
    </row>
    <row r="2" spans="1:17" ht="12.75">
      <c r="A2">
        <v>1</v>
      </c>
      <c r="B2" t="s">
        <v>123</v>
      </c>
      <c r="E2" t="s">
        <v>124</v>
      </c>
      <c r="H2" t="s">
        <v>94</v>
      </c>
      <c r="I2" t="s">
        <v>113</v>
      </c>
      <c r="J2">
        <v>0.11972195861579785</v>
      </c>
      <c r="K2">
        <v>0.2703817721564175</v>
      </c>
      <c r="L2" t="s">
        <v>1124</v>
      </c>
      <c r="N2" t="s">
        <v>95</v>
      </c>
      <c r="O2">
        <v>0.97</v>
      </c>
      <c r="P2">
        <v>12</v>
      </c>
      <c r="Q2">
        <v>0.06500204449635509</v>
      </c>
    </row>
    <row r="3" spans="1:17" ht="12.75">
      <c r="A3">
        <v>1</v>
      </c>
      <c r="B3" t="s">
        <v>123</v>
      </c>
      <c r="E3" t="s">
        <v>124</v>
      </c>
      <c r="H3" t="s">
        <v>94</v>
      </c>
      <c r="I3" t="s">
        <v>114</v>
      </c>
      <c r="J3">
        <v>0.21111493940646014</v>
      </c>
      <c r="K3">
        <v>0.5045249791095128</v>
      </c>
      <c r="L3" t="s">
        <v>1124</v>
      </c>
      <c r="N3" t="s">
        <v>95</v>
      </c>
      <c r="O3">
        <v>0.9615</v>
      </c>
      <c r="P3">
        <v>12</v>
      </c>
      <c r="Q3">
        <v>0.3298781072567007</v>
      </c>
    </row>
    <row r="4" spans="1:17" ht="12.75">
      <c r="A4">
        <v>1</v>
      </c>
      <c r="B4" t="s">
        <v>123</v>
      </c>
      <c r="E4" t="s">
        <v>124</v>
      </c>
      <c r="H4" t="s">
        <v>94</v>
      </c>
      <c r="I4" t="s">
        <v>115</v>
      </c>
      <c r="J4">
        <v>0.322</v>
      </c>
      <c r="K4">
        <v>0.48193848164647746</v>
      </c>
      <c r="L4" t="s">
        <v>1133</v>
      </c>
      <c r="N4" t="s">
        <v>95</v>
      </c>
      <c r="O4">
        <v>0.9404</v>
      </c>
      <c r="P4">
        <v>12</v>
      </c>
      <c r="Q4">
        <v>0.7871811263275685</v>
      </c>
    </row>
    <row r="5" spans="1:17" ht="12.75">
      <c r="A5">
        <v>1</v>
      </c>
      <c r="B5" t="s">
        <v>123</v>
      </c>
      <c r="E5" t="s">
        <v>124</v>
      </c>
      <c r="H5" t="s">
        <v>94</v>
      </c>
      <c r="I5" t="s">
        <v>116</v>
      </c>
      <c r="J5">
        <v>0.2008747476738738</v>
      </c>
      <c r="K5">
        <v>0.4662799642431889</v>
      </c>
      <c r="L5" t="s">
        <v>1124</v>
      </c>
      <c r="N5" t="s">
        <v>95</v>
      </c>
      <c r="O5">
        <v>0.9665</v>
      </c>
      <c r="P5">
        <v>12</v>
      </c>
      <c r="Q5">
        <v>0.30891682924636</v>
      </c>
    </row>
    <row r="6" spans="1:17" ht="12.75">
      <c r="A6">
        <v>1</v>
      </c>
      <c r="B6" t="s">
        <v>123</v>
      </c>
      <c r="E6" t="s">
        <v>124</v>
      </c>
      <c r="H6" t="s">
        <v>94</v>
      </c>
      <c r="I6" t="s">
        <v>117</v>
      </c>
      <c r="J6">
        <v>0.30520778065464765</v>
      </c>
      <c r="K6">
        <v>0.4473332381324361</v>
      </c>
      <c r="L6" t="s">
        <v>1124</v>
      </c>
      <c r="N6" t="s">
        <v>107</v>
      </c>
      <c r="O6">
        <v>0.9671</v>
      </c>
      <c r="P6">
        <v>12</v>
      </c>
      <c r="Q6">
        <v>-0.11692875614974407</v>
      </c>
    </row>
    <row r="7" spans="1:17" ht="12.75">
      <c r="A7">
        <v>1</v>
      </c>
      <c r="B7" t="s">
        <v>123</v>
      </c>
      <c r="E7" t="s">
        <v>124</v>
      </c>
      <c r="H7" t="s">
        <v>94</v>
      </c>
      <c r="I7" t="s">
        <v>118</v>
      </c>
      <c r="J7">
        <v>0.13397114923318815</v>
      </c>
      <c r="K7">
        <v>0.31630595085368607</v>
      </c>
      <c r="L7" t="s">
        <v>1124</v>
      </c>
      <c r="N7" t="s">
        <v>95</v>
      </c>
      <c r="O7">
        <v>0.9169</v>
      </c>
      <c r="P7">
        <v>12</v>
      </c>
      <c r="Q7">
        <v>0.029169491625931666</v>
      </c>
    </row>
    <row r="8" spans="1:17" ht="12.75">
      <c r="A8">
        <v>1</v>
      </c>
      <c r="B8" t="s">
        <v>123</v>
      </c>
      <c r="E8" t="s">
        <v>124</v>
      </c>
      <c r="H8" t="s">
        <v>94</v>
      </c>
      <c r="I8" t="s">
        <v>119</v>
      </c>
      <c r="J8">
        <v>0.1800603330631727</v>
      </c>
      <c r="K8">
        <v>0.44945776268295135</v>
      </c>
      <c r="L8" t="s">
        <v>1124</v>
      </c>
      <c r="N8" t="s">
        <v>95</v>
      </c>
      <c r="O8">
        <v>0.9298</v>
      </c>
      <c r="P8">
        <v>12</v>
      </c>
      <c r="Q8">
        <v>0.17853767098364404</v>
      </c>
    </row>
    <row r="9" spans="1:17" ht="12.75">
      <c r="A9">
        <v>1</v>
      </c>
      <c r="B9" t="s">
        <v>123</v>
      </c>
      <c r="D9" t="s">
        <v>121</v>
      </c>
      <c r="E9" t="s">
        <v>124</v>
      </c>
      <c r="H9" t="s">
        <v>94</v>
      </c>
      <c r="I9" t="s">
        <v>120</v>
      </c>
      <c r="J9">
        <v>0.18850767298297777</v>
      </c>
      <c r="K9">
        <v>0.43355189064001304</v>
      </c>
      <c r="L9" t="s">
        <v>1124</v>
      </c>
      <c r="N9" t="s">
        <v>95</v>
      </c>
      <c r="O9">
        <v>0.983</v>
      </c>
      <c r="P9">
        <v>12</v>
      </c>
      <c r="Q9">
        <v>0.1761339152701018</v>
      </c>
    </row>
    <row r="12" spans="18:19" ht="12.75">
      <c r="R12" t="s">
        <v>123</v>
      </c>
      <c r="S12" t="s">
        <v>857</v>
      </c>
    </row>
    <row r="13" ht="12.75">
      <c r="S13" t="s">
        <v>439</v>
      </c>
    </row>
    <row r="14" ht="12.75">
      <c r="S14" t="s">
        <v>439</v>
      </c>
    </row>
    <row r="15" ht="12.75">
      <c r="S15" t="s">
        <v>858</v>
      </c>
    </row>
    <row r="16" ht="12.75">
      <c r="S16" t="s">
        <v>860</v>
      </c>
    </row>
    <row r="17" ht="12.75">
      <c r="S17" t="s">
        <v>857</v>
      </c>
    </row>
    <row r="18" ht="12.75">
      <c r="S18" t="s">
        <v>820</v>
      </c>
    </row>
    <row r="19" ht="12.75">
      <c r="S19" t="s">
        <v>1114</v>
      </c>
    </row>
    <row r="29" spans="16:43" ht="12.75">
      <c r="P29" t="s">
        <v>857</v>
      </c>
      <c r="Q29" t="s">
        <v>439</v>
      </c>
      <c r="R29" t="s">
        <v>439</v>
      </c>
      <c r="S29" t="s">
        <v>858</v>
      </c>
      <c r="T29" t="s">
        <v>860</v>
      </c>
      <c r="U29" t="s">
        <v>857</v>
      </c>
      <c r="V29" t="s">
        <v>820</v>
      </c>
      <c r="W29" t="s">
        <v>1114</v>
      </c>
      <c r="AO29" t="s">
        <v>131</v>
      </c>
      <c r="AP29" t="s">
        <v>132</v>
      </c>
      <c r="AQ29" t="s">
        <v>133</v>
      </c>
    </row>
    <row r="30" spans="2:39" ht="12.75">
      <c r="B30" t="s">
        <v>1036</v>
      </c>
      <c r="C30" t="s">
        <v>125</v>
      </c>
      <c r="D30" t="s">
        <v>127</v>
      </c>
      <c r="F30" t="s">
        <v>128</v>
      </c>
      <c r="G30" t="s">
        <v>129</v>
      </c>
      <c r="H30" t="s">
        <v>130</v>
      </c>
      <c r="I30" t="s">
        <v>131</v>
      </c>
      <c r="J30" t="s">
        <v>132</v>
      </c>
      <c r="L30" t="s">
        <v>133</v>
      </c>
      <c r="O30" t="s">
        <v>1035</v>
      </c>
      <c r="P30" t="s">
        <v>139</v>
      </c>
      <c r="Q30" t="s">
        <v>140</v>
      </c>
      <c r="R30" t="s">
        <v>141</v>
      </c>
      <c r="S30" t="s">
        <v>142</v>
      </c>
      <c r="T30" t="s">
        <v>143</v>
      </c>
      <c r="U30" t="s">
        <v>144</v>
      </c>
      <c r="V30" t="s">
        <v>145</v>
      </c>
      <c r="W30" t="s">
        <v>146</v>
      </c>
      <c r="AB30" t="s">
        <v>148</v>
      </c>
      <c r="AC30" t="s">
        <v>139</v>
      </c>
      <c r="AD30" t="s">
        <v>140</v>
      </c>
      <c r="AE30" s="1" t="s">
        <v>141</v>
      </c>
      <c r="AF30" t="s">
        <v>142</v>
      </c>
      <c r="AG30" t="s">
        <v>143</v>
      </c>
      <c r="AH30" t="s">
        <v>144</v>
      </c>
      <c r="AI30" t="s">
        <v>145</v>
      </c>
      <c r="AJ30" t="s">
        <v>146</v>
      </c>
      <c r="AK30" t="s">
        <v>147</v>
      </c>
      <c r="AL30" t="s">
        <v>148</v>
      </c>
      <c r="AM30" t="s">
        <v>130</v>
      </c>
    </row>
    <row r="31" spans="3:43" ht="12.75">
      <c r="C31" t="s">
        <v>126</v>
      </c>
      <c r="AB31">
        <v>-1.6350391453824091</v>
      </c>
      <c r="AC31">
        <v>-1.3010299956639813</v>
      </c>
      <c r="AD31">
        <v>-1.6989700043360187</v>
      </c>
      <c r="AF31">
        <v>-0.36653154442041347</v>
      </c>
      <c r="AG31">
        <v>-1.5228787452803376</v>
      </c>
      <c r="AH31">
        <v>-0.8860566476931632</v>
      </c>
      <c r="AI31">
        <v>-0.5686362358410126</v>
      </c>
      <c r="AJ31">
        <v>0.22530928172586284</v>
      </c>
      <c r="AK31">
        <f>(A32-3/8)/12.25</f>
        <v>0.05102040816326531</v>
      </c>
      <c r="AL31">
        <f>NORMSINV(AK31)</f>
        <v>-1.6350391453824091</v>
      </c>
      <c r="AM31">
        <v>0.03</v>
      </c>
      <c r="AO31">
        <v>0.13</v>
      </c>
      <c r="AP31">
        <v>0.27</v>
      </c>
      <c r="AQ31">
        <v>1.68</v>
      </c>
    </row>
    <row r="32" spans="1:43" ht="12.75">
      <c r="A32">
        <v>1</v>
      </c>
      <c r="B32">
        <v>0.35</v>
      </c>
      <c r="C32">
        <v>0.066</v>
      </c>
      <c r="D32">
        <v>0.04</v>
      </c>
      <c r="F32">
        <v>2.07</v>
      </c>
      <c r="G32">
        <v>0.98</v>
      </c>
      <c r="H32">
        <v>0.29</v>
      </c>
      <c r="I32">
        <v>0.18</v>
      </c>
      <c r="J32">
        <v>0.89</v>
      </c>
      <c r="L32">
        <v>3.89</v>
      </c>
      <c r="O32">
        <f>LOG(B32)</f>
        <v>-0.4559319556497244</v>
      </c>
      <c r="P32">
        <f>LOG(C32)</f>
        <v>-1.1804560644581312</v>
      </c>
      <c r="Q32">
        <f>LOG(D32)</f>
        <v>-1.3979400086720375</v>
      </c>
      <c r="R32">
        <f>LOG(F32)</f>
        <v>0.3159703454569177</v>
      </c>
      <c r="S32">
        <f>LOG(G32)</f>
        <v>-0.00877392430750515</v>
      </c>
      <c r="T32">
        <f>LOG(H32)</f>
        <v>-0.5376020021010439</v>
      </c>
      <c r="U32">
        <f>LOG(I32)</f>
        <v>-0.744727494896694</v>
      </c>
      <c r="V32">
        <f>LOG(J32)</f>
        <v>-0.05060999335508721</v>
      </c>
      <c r="W32">
        <f>LOG(L32)</f>
        <v>0.5899496013257077</v>
      </c>
      <c r="AB32">
        <v>-1.1139374225638474</v>
      </c>
      <c r="AC32">
        <v>-1.275724130399211</v>
      </c>
      <c r="AD32">
        <v>-1.5228787452803376</v>
      </c>
      <c r="AF32">
        <v>-0.17392519729917355</v>
      </c>
      <c r="AG32">
        <v>-0.7958800173440752</v>
      </c>
      <c r="AH32">
        <v>-0.8239087409443188</v>
      </c>
      <c r="AI32">
        <v>-0.5228787452803376</v>
      </c>
      <c r="AJ32">
        <v>0.3283796034387377</v>
      </c>
      <c r="AK32">
        <f aca="true" t="shared" si="0" ref="AK32:AK42">(A33-3/8)/12.25</f>
        <v>0.1326530612244898</v>
      </c>
      <c r="AL32">
        <f aca="true" t="shared" si="1" ref="AL32:AL42">NORMSINV(AK32)</f>
        <v>-1.1139374225638474</v>
      </c>
      <c r="AM32">
        <v>0.16</v>
      </c>
      <c r="AO32">
        <v>0.15</v>
      </c>
      <c r="AP32">
        <v>0.3</v>
      </c>
      <c r="AQ32">
        <v>2.13</v>
      </c>
    </row>
    <row r="33" spans="1:43" ht="12.75">
      <c r="A33">
        <v>2</v>
      </c>
      <c r="B33">
        <v>0.48</v>
      </c>
      <c r="C33">
        <v>0.116</v>
      </c>
      <c r="D33">
        <v>0.05</v>
      </c>
      <c r="F33">
        <v>1.91</v>
      </c>
      <c r="G33">
        <v>0.43</v>
      </c>
      <c r="H33">
        <v>0.22</v>
      </c>
      <c r="I33">
        <v>0.31</v>
      </c>
      <c r="J33">
        <v>0.33</v>
      </c>
      <c r="L33">
        <v>3.4</v>
      </c>
      <c r="O33">
        <f aca="true" t="shared" si="2" ref="O33:O43">LOG(B33)</f>
        <v>-0.3187587626244128</v>
      </c>
      <c r="P33">
        <f aca="true" t="shared" si="3" ref="P33:P43">LOG(C33)</f>
        <v>-0.9355420107730815</v>
      </c>
      <c r="Q33">
        <f aca="true" t="shared" si="4" ref="Q33:Q43">LOG(D33)</f>
        <v>-1.3010299956639813</v>
      </c>
      <c r="R33">
        <f aca="true" t="shared" si="5" ref="R33:R39">LOG(F33)</f>
        <v>0.28103336724772754</v>
      </c>
      <c r="S33">
        <f aca="true" t="shared" si="6" ref="S33:S43">LOG(G33)</f>
        <v>-0.36653154442041347</v>
      </c>
      <c r="T33">
        <f aca="true" t="shared" si="7" ref="T33:T43">LOG(H33)</f>
        <v>-0.6575773191777937</v>
      </c>
      <c r="U33">
        <f aca="true" t="shared" si="8" ref="U33:U43">LOG(I33)</f>
        <v>-0.5086383061657274</v>
      </c>
      <c r="V33">
        <f aca="true" t="shared" si="9" ref="V33:V43">LOG(J33)</f>
        <v>-0.4814860601221125</v>
      </c>
      <c r="W33">
        <f aca="true" t="shared" si="10" ref="W33:W43">LOG(L33)</f>
        <v>0.5314789170422551</v>
      </c>
      <c r="AB33">
        <v>-0.7916383800109636</v>
      </c>
      <c r="AC33">
        <v>-1.2596373105057561</v>
      </c>
      <c r="AD33">
        <v>-1.5228787452803376</v>
      </c>
      <c r="AF33">
        <v>-0.14266750356873156</v>
      </c>
      <c r="AG33">
        <v>-0.769551078621726</v>
      </c>
      <c r="AH33">
        <v>-0.8239087409443188</v>
      </c>
      <c r="AI33">
        <v>-0.494850021680094</v>
      </c>
      <c r="AJ33">
        <v>0.4065401804339551</v>
      </c>
      <c r="AK33">
        <f t="shared" si="0"/>
        <v>0.21428571428571427</v>
      </c>
      <c r="AL33">
        <f t="shared" si="1"/>
        <v>-0.7916383800109636</v>
      </c>
      <c r="AM33">
        <v>0.17</v>
      </c>
      <c r="AO33">
        <v>0.15</v>
      </c>
      <c r="AP33">
        <v>0.32</v>
      </c>
      <c r="AQ33">
        <v>2.55</v>
      </c>
    </row>
    <row r="34" spans="1:43" ht="12.75">
      <c r="A34">
        <v>3</v>
      </c>
      <c r="B34">
        <v>0.56</v>
      </c>
      <c r="C34">
        <v>0.089</v>
      </c>
      <c r="D34">
        <v>0.03</v>
      </c>
      <c r="G34">
        <v>1.94</v>
      </c>
      <c r="H34">
        <v>0.16</v>
      </c>
      <c r="I34">
        <v>0.22</v>
      </c>
      <c r="J34">
        <v>0.3</v>
      </c>
      <c r="L34">
        <v>3.27</v>
      </c>
      <c r="O34">
        <f t="shared" si="2"/>
        <v>-0.25181197299379954</v>
      </c>
      <c r="P34">
        <f t="shared" si="3"/>
        <v>-1.0506099933550872</v>
      </c>
      <c r="Q34">
        <f t="shared" si="4"/>
        <v>-1.5228787452803376</v>
      </c>
      <c r="S34">
        <f t="shared" si="6"/>
        <v>0.287801729930226</v>
      </c>
      <c r="T34">
        <f t="shared" si="7"/>
        <v>-0.7958800173440752</v>
      </c>
      <c r="U34">
        <f t="shared" si="8"/>
        <v>-0.6575773191777937</v>
      </c>
      <c r="V34">
        <f t="shared" si="9"/>
        <v>-0.5228787452803376</v>
      </c>
      <c r="W34">
        <f t="shared" si="10"/>
        <v>0.5145477526602861</v>
      </c>
      <c r="AB34">
        <v>-0.5361761939852905</v>
      </c>
      <c r="AC34">
        <v>-1.1804560644581312</v>
      </c>
      <c r="AD34">
        <v>-1.5228787452803376</v>
      </c>
      <c r="AF34">
        <v>-0.07058107428570728</v>
      </c>
      <c r="AG34">
        <v>-0.721246399047171</v>
      </c>
      <c r="AH34">
        <v>-0.8239087409443188</v>
      </c>
      <c r="AI34">
        <v>-0.4814860601221125</v>
      </c>
      <c r="AJ34">
        <v>0.46982201597816303</v>
      </c>
      <c r="AK34">
        <f t="shared" si="0"/>
        <v>0.29591836734693877</v>
      </c>
      <c r="AL34">
        <f t="shared" si="1"/>
        <v>-0.5361761939852905</v>
      </c>
      <c r="AM34">
        <v>0.19</v>
      </c>
      <c r="AO34">
        <v>0.15</v>
      </c>
      <c r="AP34">
        <v>0.33</v>
      </c>
      <c r="AQ34">
        <v>2.95</v>
      </c>
    </row>
    <row r="35" spans="1:43" ht="12.75">
      <c r="A35">
        <v>4</v>
      </c>
      <c r="B35">
        <v>0.79</v>
      </c>
      <c r="C35">
        <v>0.053</v>
      </c>
      <c r="D35">
        <v>0.09</v>
      </c>
      <c r="F35">
        <v>4.71</v>
      </c>
      <c r="G35">
        <v>2.26</v>
      </c>
      <c r="H35">
        <v>0.26</v>
      </c>
      <c r="I35">
        <v>0.13</v>
      </c>
      <c r="J35">
        <v>0.94</v>
      </c>
      <c r="L35">
        <v>7.12</v>
      </c>
      <c r="O35">
        <f t="shared" si="2"/>
        <v>-0.10237290870955855</v>
      </c>
      <c r="P35">
        <f t="shared" si="3"/>
        <v>-1.275724130399211</v>
      </c>
      <c r="Q35">
        <f t="shared" si="4"/>
        <v>-1.0457574905606752</v>
      </c>
      <c r="R35">
        <f t="shared" si="5"/>
        <v>0.6730209071288962</v>
      </c>
      <c r="S35">
        <f t="shared" si="6"/>
        <v>0.35410843914740087</v>
      </c>
      <c r="T35">
        <f t="shared" si="7"/>
        <v>-0.585026652029182</v>
      </c>
      <c r="U35">
        <f t="shared" si="8"/>
        <v>-0.8860566476931632</v>
      </c>
      <c r="V35">
        <f t="shared" si="9"/>
        <v>-0.026872146400301365</v>
      </c>
      <c r="W35">
        <f t="shared" si="10"/>
        <v>0.8524799936368563</v>
      </c>
      <c r="AB35">
        <v>-0.3119192265738282</v>
      </c>
      <c r="AC35">
        <v>-1.136677139879544</v>
      </c>
      <c r="AD35">
        <v>-1.3979400086720375</v>
      </c>
      <c r="AF35">
        <v>-0.00877392430750515</v>
      </c>
      <c r="AG35">
        <v>-0.6575773191777937</v>
      </c>
      <c r="AH35">
        <v>-0.744727494896694</v>
      </c>
      <c r="AI35">
        <v>-0.3979400086720376</v>
      </c>
      <c r="AJ35">
        <v>0.5145477526602861</v>
      </c>
      <c r="AK35">
        <f t="shared" si="0"/>
        <v>0.37755102040816324</v>
      </c>
      <c r="AL35">
        <f t="shared" si="1"/>
        <v>-0.3119192265738282</v>
      </c>
      <c r="AM35">
        <v>0.22</v>
      </c>
      <c r="AO35">
        <v>0.18</v>
      </c>
      <c r="AP35">
        <v>0.4</v>
      </c>
      <c r="AQ35">
        <v>3.27</v>
      </c>
    </row>
    <row r="36" spans="1:43" ht="12.75">
      <c r="A36">
        <v>5</v>
      </c>
      <c r="B36">
        <v>0.31</v>
      </c>
      <c r="C36">
        <v>0.093</v>
      </c>
      <c r="D36">
        <v>0.1</v>
      </c>
      <c r="F36">
        <v>2.78</v>
      </c>
      <c r="G36">
        <v>0.67</v>
      </c>
      <c r="H36">
        <v>0.17</v>
      </c>
      <c r="I36">
        <v>0.3</v>
      </c>
      <c r="J36">
        <v>0.46</v>
      </c>
      <c r="L36">
        <v>5.57</v>
      </c>
      <c r="O36">
        <f t="shared" si="2"/>
        <v>-0.5086383061657274</v>
      </c>
      <c r="P36">
        <f t="shared" si="3"/>
        <v>-1.031517051446065</v>
      </c>
      <c r="Q36">
        <f t="shared" si="4"/>
        <v>-1</v>
      </c>
      <c r="R36">
        <f t="shared" si="5"/>
        <v>0.4440447959180762</v>
      </c>
      <c r="S36">
        <f t="shared" si="6"/>
        <v>-0.17392519729917355</v>
      </c>
      <c r="T36">
        <f t="shared" si="7"/>
        <v>-0.769551078621726</v>
      </c>
      <c r="U36">
        <f t="shared" si="8"/>
        <v>-0.5228787452803376</v>
      </c>
      <c r="V36">
        <f t="shared" si="9"/>
        <v>-0.3372421683184259</v>
      </c>
      <c r="W36">
        <f t="shared" si="10"/>
        <v>0.7458551951737289</v>
      </c>
      <c r="AB36">
        <v>-0.10249036476936285</v>
      </c>
      <c r="AC36">
        <v>-1.1249387366083</v>
      </c>
      <c r="AD36">
        <v>-1.3979400086720375</v>
      </c>
      <c r="AF36">
        <v>0.00860017176191757</v>
      </c>
      <c r="AG36">
        <v>-0.6575773191777937</v>
      </c>
      <c r="AH36">
        <v>-0.744727494896694</v>
      </c>
      <c r="AI36">
        <v>-0.3372421683184259</v>
      </c>
      <c r="AJ36">
        <v>0.5314789170422551</v>
      </c>
      <c r="AK36">
        <f t="shared" si="0"/>
        <v>0.45918367346938777</v>
      </c>
      <c r="AL36">
        <f t="shared" si="1"/>
        <v>-0.10249036476936285</v>
      </c>
      <c r="AM36">
        <v>0.22</v>
      </c>
      <c r="AO36">
        <v>0.18</v>
      </c>
      <c r="AP36">
        <v>0.46</v>
      </c>
      <c r="AQ36">
        <v>3.4</v>
      </c>
    </row>
    <row r="37" spans="1:43" ht="12.75">
      <c r="A37">
        <v>6</v>
      </c>
      <c r="B37">
        <v>0.56</v>
      </c>
      <c r="C37">
        <v>0.092</v>
      </c>
      <c r="D37">
        <v>0.04</v>
      </c>
      <c r="G37">
        <v>1.62</v>
      </c>
      <c r="H37">
        <v>0.38</v>
      </c>
      <c r="I37">
        <v>0.3</v>
      </c>
      <c r="J37">
        <v>0.49</v>
      </c>
      <c r="L37">
        <v>6.55</v>
      </c>
      <c r="O37">
        <f t="shared" si="2"/>
        <v>-0.25181197299379954</v>
      </c>
      <c r="P37">
        <f t="shared" si="3"/>
        <v>-1.0362121726544447</v>
      </c>
      <c r="Q37">
        <f t="shared" si="4"/>
        <v>-1.3979400086720375</v>
      </c>
      <c r="S37">
        <f t="shared" si="6"/>
        <v>0.20951501454263097</v>
      </c>
      <c r="T37">
        <f t="shared" si="7"/>
        <v>-0.42021640338318983</v>
      </c>
      <c r="U37">
        <f t="shared" si="8"/>
        <v>-0.5228787452803376</v>
      </c>
      <c r="V37">
        <f t="shared" si="9"/>
        <v>-0.3098039199714863</v>
      </c>
      <c r="W37">
        <f t="shared" si="10"/>
        <v>0.8162412999917831</v>
      </c>
      <c r="AB37">
        <v>0.10249036476936285</v>
      </c>
      <c r="AC37">
        <v>-1.1191864077192086</v>
      </c>
      <c r="AD37">
        <v>-1.3979400086720375</v>
      </c>
      <c r="AE37" s="1">
        <v>0.12057393120584989</v>
      </c>
      <c r="AF37">
        <v>0.02530586526477026</v>
      </c>
      <c r="AG37">
        <v>-0.585026652029182</v>
      </c>
      <c r="AH37">
        <v>-0.744727494896694</v>
      </c>
      <c r="AI37">
        <v>-0.3372421683184259</v>
      </c>
      <c r="AJ37">
        <v>0.568201724066995</v>
      </c>
      <c r="AK37">
        <f t="shared" si="0"/>
        <v>0.5408163265306123</v>
      </c>
      <c r="AL37">
        <f t="shared" si="1"/>
        <v>0.10249036476936285</v>
      </c>
      <c r="AM37">
        <v>0.26</v>
      </c>
      <c r="AO37">
        <v>0.18</v>
      </c>
      <c r="AP37">
        <v>0.46</v>
      </c>
      <c r="AQ37">
        <v>3.7</v>
      </c>
    </row>
    <row r="38" spans="1:43" ht="12.75">
      <c r="A38">
        <v>7</v>
      </c>
      <c r="B38">
        <v>0.27</v>
      </c>
      <c r="C38">
        <v>0.075</v>
      </c>
      <c r="D38">
        <v>0.04</v>
      </c>
      <c r="F38">
        <v>1.32</v>
      </c>
      <c r="G38">
        <v>1.15</v>
      </c>
      <c r="H38">
        <v>0.39</v>
      </c>
      <c r="I38">
        <v>0.15</v>
      </c>
      <c r="J38">
        <v>0.32</v>
      </c>
      <c r="L38">
        <v>2.95</v>
      </c>
      <c r="O38">
        <f t="shared" si="2"/>
        <v>-0.5686362358410126</v>
      </c>
      <c r="P38">
        <f t="shared" si="3"/>
        <v>-1.1249387366083</v>
      </c>
      <c r="Q38">
        <f t="shared" si="4"/>
        <v>-1.3979400086720375</v>
      </c>
      <c r="R38">
        <f t="shared" si="5"/>
        <v>0.12057393120584989</v>
      </c>
      <c r="S38">
        <f t="shared" si="6"/>
        <v>0.06069784035361165</v>
      </c>
      <c r="T38">
        <f t="shared" si="7"/>
        <v>-0.4089353929735008</v>
      </c>
      <c r="U38">
        <f t="shared" si="8"/>
        <v>-0.8239087409443188</v>
      </c>
      <c r="V38">
        <f t="shared" si="9"/>
        <v>-0.494850021680094</v>
      </c>
      <c r="W38">
        <f t="shared" si="10"/>
        <v>0.46982201597816303</v>
      </c>
      <c r="AB38">
        <v>0.3119192265738282</v>
      </c>
      <c r="AC38">
        <v>-1.0506099933550872</v>
      </c>
      <c r="AD38">
        <v>-1.3010299956639813</v>
      </c>
      <c r="AE38" s="1">
        <v>0.28103336724772754</v>
      </c>
      <c r="AF38">
        <v>0.037426497940623665</v>
      </c>
      <c r="AG38">
        <v>-0.5376020021010439</v>
      </c>
      <c r="AH38">
        <v>-0.6575773191777937</v>
      </c>
      <c r="AI38">
        <v>-0.3279021420642826</v>
      </c>
      <c r="AJ38">
        <v>0.5899496013257077</v>
      </c>
      <c r="AK38">
        <f t="shared" si="0"/>
        <v>0.6224489795918368</v>
      </c>
      <c r="AL38">
        <f t="shared" si="1"/>
        <v>0.3119192265738282</v>
      </c>
      <c r="AM38">
        <v>0.29</v>
      </c>
      <c r="AO38">
        <v>0.22</v>
      </c>
      <c r="AP38">
        <v>0.47</v>
      </c>
      <c r="AQ38">
        <v>3.89</v>
      </c>
    </row>
    <row r="39" spans="1:43" ht="12.75">
      <c r="A39">
        <v>8</v>
      </c>
      <c r="B39">
        <v>0.35</v>
      </c>
      <c r="C39">
        <v>0.073</v>
      </c>
      <c r="D39">
        <v>0.03</v>
      </c>
      <c r="F39">
        <v>2.04</v>
      </c>
      <c r="G39">
        <v>1.02</v>
      </c>
      <c r="H39">
        <v>0.3</v>
      </c>
      <c r="I39">
        <v>0.18</v>
      </c>
      <c r="J39">
        <v>0.46</v>
      </c>
      <c r="L39">
        <v>3.7</v>
      </c>
      <c r="O39">
        <f t="shared" si="2"/>
        <v>-0.4559319556497244</v>
      </c>
      <c r="P39">
        <f t="shared" si="3"/>
        <v>-1.136677139879544</v>
      </c>
      <c r="Q39">
        <f t="shared" si="4"/>
        <v>-1.5228787452803376</v>
      </c>
      <c r="R39">
        <f t="shared" si="5"/>
        <v>0.3096301674258988</v>
      </c>
      <c r="S39">
        <f t="shared" si="6"/>
        <v>0.00860017176191757</v>
      </c>
      <c r="T39">
        <f t="shared" si="7"/>
        <v>-0.5228787452803376</v>
      </c>
      <c r="U39">
        <f t="shared" si="8"/>
        <v>-0.744727494896694</v>
      </c>
      <c r="V39">
        <f t="shared" si="9"/>
        <v>-0.3372421683184259</v>
      </c>
      <c r="W39">
        <f t="shared" si="10"/>
        <v>0.568201724066995</v>
      </c>
      <c r="AB39">
        <v>0.5361761939852889</v>
      </c>
      <c r="AC39">
        <v>-1.0362121726544447</v>
      </c>
      <c r="AD39">
        <v>-1.2218487496163564</v>
      </c>
      <c r="AE39" s="1">
        <v>0.3096301674258988</v>
      </c>
      <c r="AF39">
        <v>0.06069784035361165</v>
      </c>
      <c r="AG39">
        <v>-0.5228787452803376</v>
      </c>
      <c r="AH39">
        <v>-0.6020599913279624</v>
      </c>
      <c r="AI39">
        <v>-0.3098039199714863</v>
      </c>
      <c r="AJ39">
        <v>0.6242820958356683</v>
      </c>
      <c r="AK39">
        <f t="shared" si="0"/>
        <v>0.7040816326530612</v>
      </c>
      <c r="AL39">
        <f t="shared" si="1"/>
        <v>0.5361761939852889</v>
      </c>
      <c r="AM39">
        <v>0.3</v>
      </c>
      <c r="AO39">
        <v>0.25</v>
      </c>
      <c r="AP39">
        <v>0.49</v>
      </c>
      <c r="AQ39">
        <v>4.21</v>
      </c>
    </row>
    <row r="40" spans="1:43" ht="12.75">
      <c r="A40">
        <v>9</v>
      </c>
      <c r="B40">
        <v>0.34</v>
      </c>
      <c r="C40">
        <v>0.05</v>
      </c>
      <c r="D40">
        <v>0.02</v>
      </c>
      <c r="G40">
        <v>1.09</v>
      </c>
      <c r="H40">
        <v>0.19</v>
      </c>
      <c r="I40">
        <v>0.15</v>
      </c>
      <c r="J40">
        <v>0.47</v>
      </c>
      <c r="L40">
        <v>2.55</v>
      </c>
      <c r="O40">
        <f t="shared" si="2"/>
        <v>-0.46852108295774486</v>
      </c>
      <c r="P40">
        <f t="shared" si="3"/>
        <v>-1.3010299956639813</v>
      </c>
      <c r="Q40">
        <f t="shared" si="4"/>
        <v>-1.6989700043360187</v>
      </c>
      <c r="S40">
        <f t="shared" si="6"/>
        <v>0.037426497940623665</v>
      </c>
      <c r="T40">
        <f t="shared" si="7"/>
        <v>-0.721246399047171</v>
      </c>
      <c r="U40">
        <f t="shared" si="8"/>
        <v>-0.8239087409443188</v>
      </c>
      <c r="V40">
        <f t="shared" si="9"/>
        <v>-0.3279021420642826</v>
      </c>
      <c r="W40">
        <f t="shared" si="10"/>
        <v>0.4065401804339551</v>
      </c>
      <c r="AB40">
        <v>0.7916383800109632</v>
      </c>
      <c r="AC40">
        <v>-1.031517051446065</v>
      </c>
      <c r="AD40">
        <v>-1.154901959985743</v>
      </c>
      <c r="AE40" s="1">
        <v>0.3159703454569177</v>
      </c>
      <c r="AF40">
        <v>0.20951501454263097</v>
      </c>
      <c r="AG40">
        <v>-0.42021640338318983</v>
      </c>
      <c r="AH40">
        <v>-0.5228787452803376</v>
      </c>
      <c r="AI40">
        <v>-0.1366771398795441</v>
      </c>
      <c r="AJ40">
        <v>0.7458551951737289</v>
      </c>
      <c r="AK40">
        <f t="shared" si="0"/>
        <v>0.7857142857142857</v>
      </c>
      <c r="AL40">
        <f t="shared" si="1"/>
        <v>0.7916383800109632</v>
      </c>
      <c r="AM40">
        <v>0.38</v>
      </c>
      <c r="AO40">
        <v>0.3</v>
      </c>
      <c r="AP40">
        <v>0.73</v>
      </c>
      <c r="AQ40">
        <v>5.57</v>
      </c>
    </row>
    <row r="41" spans="1:43" ht="12.75">
      <c r="A41">
        <v>10</v>
      </c>
      <c r="B41">
        <v>0.7</v>
      </c>
      <c r="C41">
        <v>0.108</v>
      </c>
      <c r="D41">
        <v>0.07</v>
      </c>
      <c r="G41">
        <v>0.72</v>
      </c>
      <c r="H41">
        <v>0.22</v>
      </c>
      <c r="I41">
        <v>0.25</v>
      </c>
      <c r="J41">
        <v>0.4</v>
      </c>
      <c r="L41">
        <v>4.21</v>
      </c>
      <c r="O41">
        <f t="shared" si="2"/>
        <v>-0.1549019599857432</v>
      </c>
      <c r="P41">
        <f t="shared" si="3"/>
        <v>-0.9665762445130504</v>
      </c>
      <c r="Q41">
        <f t="shared" si="4"/>
        <v>-1.154901959985743</v>
      </c>
      <c r="S41">
        <f t="shared" si="6"/>
        <v>-0.14266750356873156</v>
      </c>
      <c r="T41">
        <f t="shared" si="7"/>
        <v>-0.6575773191777937</v>
      </c>
      <c r="U41">
        <f t="shared" si="8"/>
        <v>-0.6020599913279624</v>
      </c>
      <c r="V41">
        <f t="shared" si="9"/>
        <v>-0.3979400086720376</v>
      </c>
      <c r="W41">
        <f t="shared" si="10"/>
        <v>0.6242820958356683</v>
      </c>
      <c r="AB41">
        <v>1.113937422563847</v>
      </c>
      <c r="AC41">
        <v>-0.9665762445130504</v>
      </c>
      <c r="AD41">
        <v>-1.0457574905606752</v>
      </c>
      <c r="AE41" s="1">
        <v>0.4440447959180762</v>
      </c>
      <c r="AF41">
        <v>0.287801729930226</v>
      </c>
      <c r="AG41">
        <v>-0.4089353929735008</v>
      </c>
      <c r="AH41">
        <v>-0.5228787452803376</v>
      </c>
      <c r="AI41">
        <v>-0.05060999335508721</v>
      </c>
      <c r="AJ41">
        <v>0.8162412999917831</v>
      </c>
      <c r="AK41">
        <f t="shared" si="0"/>
        <v>0.8673469387755102</v>
      </c>
      <c r="AL41">
        <f t="shared" si="1"/>
        <v>1.113937422563847</v>
      </c>
      <c r="AM41">
        <v>0.39</v>
      </c>
      <c r="AO41">
        <v>0.3</v>
      </c>
      <c r="AP41">
        <v>0.89</v>
      </c>
      <c r="AQ41">
        <v>6.55</v>
      </c>
    </row>
    <row r="42" spans="1:43" ht="12.75">
      <c r="A42">
        <v>11</v>
      </c>
      <c r="B42">
        <v>0.53</v>
      </c>
      <c r="C42">
        <v>0.076</v>
      </c>
      <c r="D42">
        <v>0.03</v>
      </c>
      <c r="G42">
        <v>0.85</v>
      </c>
      <c r="H42">
        <v>0.03</v>
      </c>
      <c r="I42">
        <v>0.18</v>
      </c>
      <c r="J42">
        <v>0.27</v>
      </c>
      <c r="L42">
        <v>2.13</v>
      </c>
      <c r="O42">
        <f t="shared" si="2"/>
        <v>-0.27572413039921095</v>
      </c>
      <c r="P42">
        <f t="shared" si="3"/>
        <v>-1.1191864077192086</v>
      </c>
      <c r="Q42">
        <f t="shared" si="4"/>
        <v>-1.5228787452803376</v>
      </c>
      <c r="S42">
        <f t="shared" si="6"/>
        <v>-0.07058107428570728</v>
      </c>
      <c r="T42">
        <f t="shared" si="7"/>
        <v>-1.5228787452803376</v>
      </c>
      <c r="U42">
        <f t="shared" si="8"/>
        <v>-0.744727494896694</v>
      </c>
      <c r="V42">
        <f t="shared" si="9"/>
        <v>-0.5686362358410126</v>
      </c>
      <c r="W42">
        <f t="shared" si="10"/>
        <v>0.3283796034387377</v>
      </c>
      <c r="AB42">
        <v>1.6350391453824091</v>
      </c>
      <c r="AC42">
        <v>-0.9355420107730815</v>
      </c>
      <c r="AD42">
        <v>-1</v>
      </c>
      <c r="AE42" s="1">
        <v>0.6730209071288962</v>
      </c>
      <c r="AF42">
        <v>0.35410843914740087</v>
      </c>
      <c r="AG42">
        <v>-0.36653154442041347</v>
      </c>
      <c r="AH42">
        <v>-0.5086383061657274</v>
      </c>
      <c r="AI42">
        <v>-0.026872146400301365</v>
      </c>
      <c r="AJ42">
        <v>0.8524799936368563</v>
      </c>
      <c r="AK42">
        <f t="shared" si="0"/>
        <v>0.9489795918367347</v>
      </c>
      <c r="AL42">
        <f t="shared" si="1"/>
        <v>1.6350391453824091</v>
      </c>
      <c r="AM42">
        <v>0.43</v>
      </c>
      <c r="AO42">
        <v>0.31</v>
      </c>
      <c r="AP42">
        <v>0.94</v>
      </c>
      <c r="AQ42">
        <v>7.12</v>
      </c>
    </row>
    <row r="43" spans="1:23" ht="12.75">
      <c r="A43">
        <v>12</v>
      </c>
      <c r="B43">
        <v>0.58</v>
      </c>
      <c r="C43">
        <v>0.055</v>
      </c>
      <c r="D43">
        <v>0.06</v>
      </c>
      <c r="G43">
        <v>1.06</v>
      </c>
      <c r="H43">
        <v>0.43</v>
      </c>
      <c r="I43">
        <v>0.15</v>
      </c>
      <c r="J43">
        <v>0.73</v>
      </c>
      <c r="L43">
        <v>1.68</v>
      </c>
      <c r="O43">
        <f t="shared" si="2"/>
        <v>-0.23657200643706275</v>
      </c>
      <c r="P43">
        <f t="shared" si="3"/>
        <v>-1.2596373105057561</v>
      </c>
      <c r="Q43">
        <f t="shared" si="4"/>
        <v>-1.2218487496163564</v>
      </c>
      <c r="S43">
        <f t="shared" si="6"/>
        <v>0.02530586526477026</v>
      </c>
      <c r="T43">
        <f t="shared" si="7"/>
        <v>-0.36653154442041347</v>
      </c>
      <c r="U43">
        <f t="shared" si="8"/>
        <v>-0.8239087409443188</v>
      </c>
      <c r="V43">
        <f t="shared" si="9"/>
        <v>-0.1366771398795441</v>
      </c>
      <c r="W43">
        <f t="shared" si="10"/>
        <v>0.22530928172586284</v>
      </c>
    </row>
    <row r="45" spans="1:23" ht="12.75">
      <c r="A45" t="s">
        <v>134</v>
      </c>
      <c r="C45">
        <f aca="true" t="shared" si="11" ref="C45:L45">AVERAGE(C32:C43)</f>
        <v>0.07883333333333332</v>
      </c>
      <c r="D45">
        <f t="shared" si="11"/>
        <v>0.05000000000000001</v>
      </c>
      <c r="F45">
        <f t="shared" si="11"/>
        <v>2.4716666666666662</v>
      </c>
      <c r="G45">
        <f t="shared" si="11"/>
        <v>1.1491666666666667</v>
      </c>
      <c r="H45">
        <f t="shared" si="11"/>
        <v>0.25333333333333335</v>
      </c>
      <c r="I45">
        <f t="shared" si="11"/>
        <v>0.20833333333333334</v>
      </c>
      <c r="J45">
        <f t="shared" si="11"/>
        <v>0.505</v>
      </c>
      <c r="L45">
        <f t="shared" si="11"/>
        <v>3.9183333333333334</v>
      </c>
      <c r="N45" t="s">
        <v>134</v>
      </c>
      <c r="O45">
        <f>AVERAGE(O32:O43)</f>
        <v>-0.33746777086729346</v>
      </c>
      <c r="P45">
        <f aca="true" t="shared" si="12" ref="P45:W45">AVERAGE(P32:P43)</f>
        <v>-1.1181756048313216</v>
      </c>
      <c r="Q45">
        <f t="shared" si="12"/>
        <v>-1.3487470385016582</v>
      </c>
      <c r="R45">
        <f t="shared" si="12"/>
        <v>0.35737891906389435</v>
      </c>
      <c r="S45">
        <f t="shared" si="12"/>
        <v>0.018414692921637495</v>
      </c>
      <c r="T45">
        <f t="shared" si="12"/>
        <v>-0.6638251349030471</v>
      </c>
      <c r="U45">
        <f t="shared" si="12"/>
        <v>-0.7004998718706966</v>
      </c>
      <c r="V45">
        <f t="shared" si="12"/>
        <v>-0.3326783958252623</v>
      </c>
      <c r="W45">
        <f t="shared" si="12"/>
        <v>0.5560906384425</v>
      </c>
    </row>
    <row r="46" spans="1:23" ht="12.75">
      <c r="A46" t="s">
        <v>135</v>
      </c>
      <c r="C46">
        <f>STDEV(C32:C43)</f>
        <v>0.021315096371664247</v>
      </c>
      <c r="D46">
        <f aca="true" t="shared" si="13" ref="D46:L46">STDEV(D32:D43)</f>
        <v>0.025226248955475643</v>
      </c>
      <c r="F46">
        <f t="shared" si="13"/>
        <v>1.1911912804695433</v>
      </c>
      <c r="G46">
        <f t="shared" si="13"/>
        <v>0.5358333922427979</v>
      </c>
      <c r="H46">
        <f t="shared" si="13"/>
        <v>0.11332442032688382</v>
      </c>
      <c r="I46">
        <f t="shared" si="13"/>
        <v>0.06589707309451794</v>
      </c>
      <c r="J46">
        <f t="shared" si="13"/>
        <v>0.22697617015489044</v>
      </c>
      <c r="L46">
        <f t="shared" si="13"/>
        <v>1.698800824824451</v>
      </c>
      <c r="N46" t="s">
        <v>135</v>
      </c>
      <c r="O46" s="1">
        <f>STDEV(O32:O43)</f>
        <v>0.14942211971367428</v>
      </c>
      <c r="P46">
        <f>STDEV(P32:P43)</f>
        <v>0.11972195861579785</v>
      </c>
      <c r="Q46">
        <f aca="true" t="shared" si="14" ref="Q46:W46">STDEV(Q32:Q43)</f>
        <v>0.21111493940646014</v>
      </c>
      <c r="R46">
        <f t="shared" si="14"/>
        <v>0.18603263028202663</v>
      </c>
      <c r="S46">
        <f t="shared" si="14"/>
        <v>0.2008747476738738</v>
      </c>
      <c r="T46">
        <f t="shared" si="14"/>
        <v>0.30520778065464765</v>
      </c>
      <c r="U46">
        <f t="shared" si="14"/>
        <v>0.13397114923318815</v>
      </c>
      <c r="V46">
        <f t="shared" si="14"/>
        <v>0.1800603330631727</v>
      </c>
      <c r="W46">
        <f t="shared" si="14"/>
        <v>0.18850767298297777</v>
      </c>
    </row>
    <row r="47" spans="1:39" ht="12.75">
      <c r="A47" t="s">
        <v>136</v>
      </c>
      <c r="C47">
        <v>12</v>
      </c>
      <c r="D47">
        <v>12</v>
      </c>
      <c r="F47">
        <v>6</v>
      </c>
      <c r="G47">
        <v>12</v>
      </c>
      <c r="H47">
        <v>12</v>
      </c>
      <c r="I47">
        <v>12</v>
      </c>
      <c r="J47">
        <v>12</v>
      </c>
      <c r="L47">
        <v>12</v>
      </c>
      <c r="N47" t="s">
        <v>136</v>
      </c>
      <c r="O47">
        <v>12</v>
      </c>
      <c r="P47">
        <v>12</v>
      </c>
      <c r="Q47">
        <v>12</v>
      </c>
      <c r="R47">
        <v>6</v>
      </c>
      <c r="S47">
        <v>12</v>
      </c>
      <c r="T47">
        <v>12</v>
      </c>
      <c r="U47">
        <v>12</v>
      </c>
      <c r="V47">
        <v>12</v>
      </c>
      <c r="W47">
        <v>12</v>
      </c>
      <c r="AM47" t="s">
        <v>149</v>
      </c>
    </row>
    <row r="48" spans="1:40" ht="13.5" thickBot="1">
      <c r="A48" t="s">
        <v>137</v>
      </c>
      <c r="C48">
        <f>(C46/C47^0.5)</f>
        <v>0.006153138313991584</v>
      </c>
      <c r="D48">
        <f aca="true" t="shared" si="15" ref="D48:L48">(D46/D47^0.5)</f>
        <v>0.007282190812544189</v>
      </c>
      <c r="F48">
        <f t="shared" si="15"/>
        <v>0.48630180386715105</v>
      </c>
      <c r="G48">
        <f t="shared" si="15"/>
        <v>0.15468177662608487</v>
      </c>
      <c r="H48">
        <f t="shared" si="15"/>
        <v>0.032713942290742336</v>
      </c>
      <c r="I48">
        <f t="shared" si="15"/>
        <v>0.01902284644496419</v>
      </c>
      <c r="J48">
        <f t="shared" si="15"/>
        <v>0.06552237646927815</v>
      </c>
      <c r="L48">
        <f t="shared" si="15"/>
        <v>0.4904015567559776</v>
      </c>
      <c r="N48" t="s">
        <v>137</v>
      </c>
      <c r="O48">
        <f aca="true" t="shared" si="16" ref="O48:W48">(O46/O47^0.5)</f>
        <v>0.04313445051978717</v>
      </c>
      <c r="P48">
        <f t="shared" si="16"/>
        <v>0.034560752517370064</v>
      </c>
      <c r="Q48">
        <f t="shared" si="16"/>
        <v>0.06094363354813565</v>
      </c>
      <c r="R48">
        <f t="shared" si="16"/>
        <v>0.07594750328313325</v>
      </c>
      <c r="S48">
        <f t="shared" si="16"/>
        <v>0.0579875448214546</v>
      </c>
      <c r="T48">
        <f t="shared" si="16"/>
        <v>0.08810589715986454</v>
      </c>
      <c r="U48">
        <f t="shared" si="16"/>
        <v>0.03867413953671235</v>
      </c>
      <c r="V48">
        <f t="shared" si="16"/>
        <v>0.05197894088219822</v>
      </c>
      <c r="W48">
        <f t="shared" si="16"/>
        <v>0.05441747787051608</v>
      </c>
      <c r="AN48" t="s">
        <v>125</v>
      </c>
    </row>
    <row r="49" spans="1:39" ht="13.5" thickBot="1">
      <c r="A49" t="s">
        <v>138</v>
      </c>
      <c r="C49">
        <f>C46/C45</f>
        <v>0.2703817721564175</v>
      </c>
      <c r="D49">
        <f aca="true" t="shared" si="17" ref="D49:L49">D46/D45</f>
        <v>0.5045249791095128</v>
      </c>
      <c r="F49">
        <f t="shared" si="17"/>
        <v>0.48193848164647746</v>
      </c>
      <c r="G49">
        <f t="shared" si="17"/>
        <v>0.4662799642431889</v>
      </c>
      <c r="H49">
        <f t="shared" si="17"/>
        <v>0.4473332381324361</v>
      </c>
      <c r="I49">
        <f t="shared" si="17"/>
        <v>0.31630595085368607</v>
      </c>
      <c r="J49">
        <f t="shared" si="17"/>
        <v>0.44945776268295135</v>
      </c>
      <c r="L49">
        <f t="shared" si="17"/>
        <v>0.43355189064001304</v>
      </c>
      <c r="N49" t="s">
        <v>138</v>
      </c>
      <c r="AM49" s="5" t="s">
        <v>150</v>
      </c>
    </row>
    <row r="50" spans="15:40" ht="12.75">
      <c r="O50" t="e">
        <f>CORREL(N32:N43,O32:O43)</f>
        <v>#DIV/0!</v>
      </c>
      <c r="P50">
        <f>CORREL(O32:O43,P32:P43)</f>
        <v>0.06500204449635509</v>
      </c>
      <c r="Q50">
        <f>CORREL(O32:O43,Q32:Q43)</f>
        <v>0.3298781072567007</v>
      </c>
      <c r="R50">
        <f>CORREL(O32:O43,R32:R43)</f>
        <v>0.7871811263275685</v>
      </c>
      <c r="S50">
        <f>CORREL(O32:O43,S32:S43)</f>
        <v>0.30891682924636</v>
      </c>
      <c r="T50">
        <f>CORREL(O32:O43,T32:T43)</f>
        <v>-0.11692875614974407</v>
      </c>
      <c r="U50">
        <f>CORREL(O32:O43,U32:U43)</f>
        <v>0.029169491625931666</v>
      </c>
      <c r="V50">
        <f>CORREL(O32:O43,V32:V43)</f>
        <v>0.17853767098364404</v>
      </c>
      <c r="W50">
        <f>CORREL(O32:O43,W32:W43)</f>
        <v>0.1761339152701018</v>
      </c>
      <c r="AM50" s="2" t="s">
        <v>151</v>
      </c>
      <c r="AN50" s="5"/>
    </row>
    <row r="51" spans="39:40" ht="12.75">
      <c r="AM51" s="2" t="s">
        <v>152</v>
      </c>
      <c r="AN51" s="2">
        <v>0.9837348710362325</v>
      </c>
    </row>
    <row r="52" spans="39:40" ht="12.75">
      <c r="AM52" s="2" t="s">
        <v>153</v>
      </c>
      <c r="AN52" s="2">
        <v>0.9677342964926728</v>
      </c>
    </row>
    <row r="53" spans="9:40" ht="12.75">
      <c r="I53" t="s">
        <v>123</v>
      </c>
      <c r="J53" t="s">
        <v>666</v>
      </c>
      <c r="K53" s="1">
        <v>0.14942211971367428</v>
      </c>
      <c r="L53">
        <v>12</v>
      </c>
      <c r="M53" t="s">
        <v>668</v>
      </c>
      <c r="AM53" s="2" t="s">
        <v>154</v>
      </c>
      <c r="AN53" s="2">
        <v>0.96450772614194</v>
      </c>
    </row>
    <row r="54" spans="39:40" ht="13.5" thickBot="1">
      <c r="AM54" s="3" t="s">
        <v>155</v>
      </c>
      <c r="AN54" s="2">
        <v>0.022554890607786378</v>
      </c>
    </row>
    <row r="55" ht="13.5" thickBot="1">
      <c r="AN55" s="3">
        <v>12</v>
      </c>
    </row>
    <row r="56" ht="13.5" thickBot="1">
      <c r="AM56" t="s">
        <v>156</v>
      </c>
    </row>
    <row r="57" ht="13.5" thickBot="1">
      <c r="AM57" s="4"/>
    </row>
    <row r="58" spans="39:44" ht="12.75">
      <c r="AM58" s="2" t="s">
        <v>157</v>
      </c>
      <c r="AN58" s="4" t="s">
        <v>161</v>
      </c>
      <c r="AO58" s="4" t="s">
        <v>162</v>
      </c>
      <c r="AP58" s="4" t="s">
        <v>163</v>
      </c>
      <c r="AQ58" s="4" t="s">
        <v>164</v>
      </c>
      <c r="AR58" s="4" t="s">
        <v>165</v>
      </c>
    </row>
    <row r="59" spans="39:44" ht="12.75">
      <c r="AM59" s="2" t="s">
        <v>158</v>
      </c>
      <c r="AN59" s="2">
        <v>1</v>
      </c>
      <c r="AO59" s="2">
        <v>0.1525795902195408</v>
      </c>
      <c r="AP59" s="2">
        <v>0.1525795902195408</v>
      </c>
      <c r="AQ59" s="2">
        <v>299.9266066747666</v>
      </c>
      <c r="AR59" s="2">
        <v>8.724256371331192E-09</v>
      </c>
    </row>
    <row r="60" spans="39:44" ht="13.5" thickBot="1">
      <c r="AM60" s="3" t="s">
        <v>159</v>
      </c>
      <c r="AN60" s="2">
        <v>10</v>
      </c>
      <c r="AO60" s="2">
        <v>0.005087230903292102</v>
      </c>
      <c r="AP60" s="2">
        <v>0.0005087230903292101</v>
      </c>
      <c r="AQ60" s="2"/>
      <c r="AR60" s="2"/>
    </row>
    <row r="61" spans="40:44" ht="13.5" thickBot="1">
      <c r="AN61" s="3">
        <v>11</v>
      </c>
      <c r="AO61" s="3">
        <v>0.1576668211228329</v>
      </c>
      <c r="AP61" s="3"/>
      <c r="AQ61" s="3"/>
      <c r="AR61" s="3"/>
    </row>
    <row r="62" ht="13.5" thickBot="1">
      <c r="AM62" s="4"/>
    </row>
    <row r="63" spans="39:47" ht="12.75">
      <c r="AM63" s="2" t="s">
        <v>160</v>
      </c>
      <c r="AN63" s="4" t="s">
        <v>166</v>
      </c>
      <c r="AO63" s="4" t="s">
        <v>154</v>
      </c>
      <c r="AP63" s="4" t="s">
        <v>167</v>
      </c>
      <c r="AQ63" s="4" t="s">
        <v>168</v>
      </c>
      <c r="AR63" s="4" t="s">
        <v>169</v>
      </c>
      <c r="AS63" s="4" t="s">
        <v>170</v>
      </c>
      <c r="AT63" s="4" t="s">
        <v>171</v>
      </c>
      <c r="AU63" s="4" t="s">
        <v>172</v>
      </c>
    </row>
    <row r="64" spans="39:47" ht="13.5" thickBot="1">
      <c r="AM64" s="3" t="s">
        <v>173</v>
      </c>
      <c r="AN64" s="2">
        <v>-1.1181756048313216</v>
      </c>
      <c r="AO64" s="2">
        <v>0.006511036081974013</v>
      </c>
      <c r="AP64" s="2">
        <v>-171.7354336166286</v>
      </c>
      <c r="AQ64" s="2">
        <v>1.101099783409416E-18</v>
      </c>
      <c r="AR64" s="2">
        <v>-1.13268309980273</v>
      </c>
      <c r="AS64" s="2">
        <v>-1.1036681098599133</v>
      </c>
      <c r="AT64" s="2">
        <v>-1.13268309980273</v>
      </c>
      <c r="AU64" s="2">
        <v>-1.1036681098599133</v>
      </c>
    </row>
    <row r="65" spans="40:47" ht="13.5" thickBot="1">
      <c r="AN65" s="3">
        <v>0.12431901696327588</v>
      </c>
      <c r="AO65" s="3">
        <v>0.007178439927251858</v>
      </c>
      <c r="AP65" s="3">
        <v>17.31838926328792</v>
      </c>
      <c r="AQ65" s="3">
        <v>8.724256371331255E-09</v>
      </c>
      <c r="AR65" s="3">
        <v>0.1083244532969063</v>
      </c>
      <c r="AS65" s="3">
        <v>0.14031358062964544</v>
      </c>
      <c r="AT65" s="3">
        <v>0.1083244532969063</v>
      </c>
      <c r="AU65" s="3">
        <v>0.14031358062964544</v>
      </c>
    </row>
    <row r="68" ht="12.75">
      <c r="AM68" s="2"/>
    </row>
    <row r="69" spans="39:40" ht="12.75">
      <c r="AM69" s="2"/>
      <c r="AN69" s="2"/>
    </row>
    <row r="70" spans="39:40" ht="12.75">
      <c r="AM70" s="2"/>
      <c r="AN70" s="2"/>
    </row>
    <row r="71" spans="39:40" ht="12.75">
      <c r="AM71" s="2"/>
      <c r="AN71" s="2"/>
    </row>
    <row r="72" spans="39:40" ht="12.75">
      <c r="AM72" s="2"/>
      <c r="AN72" s="2"/>
    </row>
    <row r="73" spans="39:40" ht="12.75">
      <c r="AM73" s="2"/>
      <c r="AN73" s="2"/>
    </row>
    <row r="74" spans="39:40" ht="12.75">
      <c r="AM74" s="2"/>
      <c r="AN74" s="2"/>
    </row>
    <row r="75" spans="39:40" ht="12.75">
      <c r="AM75" s="2"/>
      <c r="AN75" s="2"/>
    </row>
    <row r="76" spans="39:40" ht="12.75">
      <c r="AM76" s="2"/>
      <c r="AN76" s="2"/>
    </row>
    <row r="77" spans="39:40" ht="12.75">
      <c r="AM77" s="2"/>
      <c r="AN77" s="2"/>
    </row>
    <row r="78" spans="39:40" ht="13.5" thickBot="1">
      <c r="AM78" s="3"/>
      <c r="AN78" s="2"/>
    </row>
    <row r="79" ht="13.5" thickBot="1">
      <c r="AN79" s="3"/>
    </row>
  </sheetData>
  <printOptions/>
  <pageMargins left="0.75" right="0.75" top="1" bottom="1" header="0.5" footer="0.5"/>
  <pageSetup orientation="portrait"/>
  <drawing r:id="rId1"/>
</worksheet>
</file>

<file path=xl/worksheets/sheet21.xml><?xml version="1.0" encoding="utf-8"?>
<worksheet xmlns="http://schemas.openxmlformats.org/spreadsheetml/2006/main" xmlns:r="http://schemas.openxmlformats.org/officeDocument/2006/relationships">
  <dimension ref="A1:AC53"/>
  <sheetViews>
    <sheetView zoomScale="115" zoomScaleNormal="115" workbookViewId="0" topLeftCell="A1">
      <selection activeCell="A49" sqref="A49:B53"/>
    </sheetView>
  </sheetViews>
  <sheetFormatPr defaultColWidth="9.140625" defaultRowHeight="12.75"/>
  <cols>
    <col min="1" max="4" width="8.8515625" style="0" customWidth="1"/>
    <col min="5" max="5" width="13.8515625" style="0" customWidth="1"/>
    <col min="6" max="6" width="12.421875" style="0" customWidth="1"/>
    <col min="7" max="8" width="8.8515625" style="0" customWidth="1"/>
    <col min="9" max="9" width="23.140625" style="0" customWidth="1"/>
    <col min="10" max="11" width="18.8515625" style="0" customWidth="1"/>
    <col min="12" max="13" width="15.421875" style="0" customWidth="1"/>
    <col min="14" max="14" width="10.7109375" style="0" customWidth="1"/>
    <col min="15" max="15" width="15.00390625" style="0" customWidth="1"/>
    <col min="16" max="18" width="10.7109375" style="0" customWidth="1"/>
    <col min="19" max="19" width="8.8515625" style="0" customWidth="1"/>
    <col min="20" max="20" width="19.140625" style="0" customWidth="1"/>
    <col min="21" max="22" width="8.8515625" style="0" customWidth="1"/>
    <col min="23" max="23" width="12.00390625" style="0" customWidth="1"/>
    <col min="24" max="27" width="8.8515625" style="0" customWidth="1"/>
    <col min="28" max="28" width="35.140625" style="0" customWidth="1"/>
    <col min="29" max="16384" width="8.8515625" style="0" customWidth="1"/>
  </cols>
  <sheetData>
    <row r="1" spans="1:19" ht="51">
      <c r="A1" s="7" t="s">
        <v>69</v>
      </c>
      <c r="B1" s="7" t="s">
        <v>57</v>
      </c>
      <c r="C1" s="7" t="s">
        <v>58</v>
      </c>
      <c r="D1" s="7" t="s">
        <v>59</v>
      </c>
      <c r="E1" s="7" t="s">
        <v>60</v>
      </c>
      <c r="F1" s="7" t="s">
        <v>92</v>
      </c>
      <c r="G1" s="7" t="s">
        <v>61</v>
      </c>
      <c r="H1" s="7" t="s">
        <v>62</v>
      </c>
      <c r="I1" s="7" t="s">
        <v>63</v>
      </c>
      <c r="J1" s="8" t="s">
        <v>64</v>
      </c>
      <c r="K1" s="8" t="s">
        <v>138</v>
      </c>
      <c r="L1" s="7" t="s">
        <v>1125</v>
      </c>
      <c r="M1" s="7" t="s">
        <v>0</v>
      </c>
      <c r="N1" s="7" t="s">
        <v>66</v>
      </c>
      <c r="O1" s="7" t="s">
        <v>85</v>
      </c>
      <c r="P1" s="7" t="s">
        <v>67</v>
      </c>
      <c r="Q1" s="7"/>
      <c r="R1" s="7"/>
      <c r="S1" s="7" t="s">
        <v>68</v>
      </c>
    </row>
    <row r="3" spans="1:16" ht="12.75">
      <c r="A3">
        <v>52</v>
      </c>
      <c r="B3" t="s">
        <v>202</v>
      </c>
      <c r="D3" t="s">
        <v>104</v>
      </c>
      <c r="E3" t="s">
        <v>108</v>
      </c>
      <c r="G3" t="s">
        <v>102</v>
      </c>
      <c r="H3" t="s">
        <v>103</v>
      </c>
      <c r="I3" t="s">
        <v>105</v>
      </c>
      <c r="J3">
        <v>0.39499621544410024</v>
      </c>
      <c r="K3">
        <v>0.6468687548583406</v>
      </c>
      <c r="L3" t="s">
        <v>106</v>
      </c>
      <c r="N3" t="s">
        <v>1123</v>
      </c>
      <c r="O3">
        <v>0.955</v>
      </c>
      <c r="P3">
        <v>31</v>
      </c>
    </row>
    <row r="4" spans="1:16" ht="12.75">
      <c r="A4">
        <v>52</v>
      </c>
      <c r="B4" t="s">
        <v>202</v>
      </c>
      <c r="D4" t="s">
        <v>110</v>
      </c>
      <c r="E4" t="s">
        <v>108</v>
      </c>
      <c r="G4" t="s">
        <v>102</v>
      </c>
      <c r="H4" t="s">
        <v>103</v>
      </c>
      <c r="I4" t="s">
        <v>1122</v>
      </c>
      <c r="J4">
        <v>0.33690438127179745</v>
      </c>
      <c r="K4">
        <v>0.8178033959748078</v>
      </c>
      <c r="L4" t="s">
        <v>106</v>
      </c>
      <c r="N4" t="s">
        <v>95</v>
      </c>
      <c r="O4">
        <v>0.9925</v>
      </c>
      <c r="P4">
        <v>31</v>
      </c>
    </row>
    <row r="5" spans="1:16" ht="12.75">
      <c r="A5">
        <v>52</v>
      </c>
      <c r="B5" t="s">
        <v>202</v>
      </c>
      <c r="D5" t="s">
        <v>111</v>
      </c>
      <c r="E5" t="s">
        <v>108</v>
      </c>
      <c r="G5" t="s">
        <v>1121</v>
      </c>
      <c r="H5" t="s">
        <v>103</v>
      </c>
      <c r="I5" t="s">
        <v>112</v>
      </c>
      <c r="J5">
        <v>0.16609720980800327</v>
      </c>
      <c r="K5">
        <v>0.37851116959631065</v>
      </c>
      <c r="L5" t="s">
        <v>106</v>
      </c>
      <c r="N5" t="s">
        <v>95</v>
      </c>
      <c r="O5">
        <v>0.9655</v>
      </c>
      <c r="P5">
        <v>20</v>
      </c>
    </row>
    <row r="8" ht="12.75">
      <c r="B8" t="s">
        <v>98</v>
      </c>
    </row>
    <row r="9" ht="12.75">
      <c r="B9" t="s">
        <v>91</v>
      </c>
    </row>
    <row r="10" ht="12.75">
      <c r="B10" t="s">
        <v>201</v>
      </c>
    </row>
    <row r="12" spans="2:28" ht="12.75">
      <c r="B12" t="s">
        <v>195</v>
      </c>
      <c r="I12" t="s">
        <v>195</v>
      </c>
      <c r="S12" t="s">
        <v>195</v>
      </c>
      <c r="AB12" t="s">
        <v>196</v>
      </c>
    </row>
    <row r="13" spans="2:28" ht="12.75">
      <c r="B13" t="s">
        <v>198</v>
      </c>
      <c r="AB13" t="s">
        <v>207</v>
      </c>
    </row>
    <row r="14" spans="2:28" ht="12.75">
      <c r="B14" t="s">
        <v>192</v>
      </c>
      <c r="C14" t="s">
        <v>193</v>
      </c>
      <c r="I14" t="s">
        <v>109</v>
      </c>
      <c r="S14" t="s">
        <v>199</v>
      </c>
      <c r="AB14" t="s">
        <v>197</v>
      </c>
    </row>
    <row r="15" spans="4:29" ht="12.75">
      <c r="D15" t="s">
        <v>99</v>
      </c>
      <c r="E15" t="s">
        <v>190</v>
      </c>
      <c r="F15" t="s">
        <v>100</v>
      </c>
      <c r="G15" t="s">
        <v>101</v>
      </c>
      <c r="I15" t="s">
        <v>192</v>
      </c>
      <c r="J15" t="s">
        <v>194</v>
      </c>
      <c r="L15" t="s">
        <v>99</v>
      </c>
      <c r="N15" t="s">
        <v>190</v>
      </c>
      <c r="O15" t="s">
        <v>100</v>
      </c>
      <c r="P15" t="s">
        <v>101</v>
      </c>
      <c r="S15" t="s">
        <v>192</v>
      </c>
      <c r="T15" t="s">
        <v>200</v>
      </c>
      <c r="U15" t="s">
        <v>99</v>
      </c>
      <c r="V15" t="s">
        <v>190</v>
      </c>
      <c r="W15" t="s">
        <v>100</v>
      </c>
      <c r="X15" t="s">
        <v>101</v>
      </c>
      <c r="AB15" s="6" t="s">
        <v>205</v>
      </c>
      <c r="AC15" t="s">
        <v>206</v>
      </c>
    </row>
    <row r="16" spans="1:29" ht="12.75">
      <c r="A16">
        <v>1</v>
      </c>
      <c r="B16">
        <v>0.97445</v>
      </c>
      <c r="C16">
        <v>1.5295</v>
      </c>
      <c r="D16">
        <f>(A16-3/8)/31.25</f>
        <v>0.02</v>
      </c>
      <c r="E16">
        <f>NORMSINV(D16)</f>
        <v>-2.0537475189510443</v>
      </c>
      <c r="F16">
        <v>0.18178</v>
      </c>
      <c r="G16">
        <f>LOG(F16)</f>
        <v>-0.7404539009129777</v>
      </c>
      <c r="I16">
        <v>1.9985</v>
      </c>
      <c r="J16">
        <v>2.9783</v>
      </c>
      <c r="L16">
        <f>(A16-3/8)/31.25</f>
        <v>0.02</v>
      </c>
      <c r="N16">
        <f>NORMSINV(L16)</f>
        <v>-2.0537475189510443</v>
      </c>
      <c r="O16">
        <v>0.1867</v>
      </c>
      <c r="P16">
        <f>LOG(O16)</f>
        <v>-0.7288556820509217</v>
      </c>
      <c r="S16">
        <v>2.0274</v>
      </c>
      <c r="T16">
        <v>10.749</v>
      </c>
      <c r="U16">
        <f>(A16-3/8)/20.25</f>
        <v>0.030864197530864196</v>
      </c>
      <c r="V16">
        <f>NORMSINV(U16)</f>
        <v>-1.868240738682386</v>
      </c>
      <c r="W16">
        <v>4.2485</v>
      </c>
      <c r="X16">
        <f>LOG(W16)</f>
        <v>0.6282356225890844</v>
      </c>
      <c r="AB16">
        <v>0.0995</v>
      </c>
      <c r="AC16">
        <v>49.7003</v>
      </c>
    </row>
    <row r="17" spans="1:29" ht="12.75">
      <c r="A17">
        <v>2</v>
      </c>
      <c r="B17">
        <v>1.2786</v>
      </c>
      <c r="C17">
        <v>5.0127</v>
      </c>
      <c r="D17">
        <f aca="true" t="shared" si="0" ref="D17:D46">(A17-3/8)/31.25</f>
        <v>0.052</v>
      </c>
      <c r="E17">
        <f aca="true" t="shared" si="1" ref="E17:E46">NORMSINV(D17)</f>
        <v>-1.6257632924497036</v>
      </c>
      <c r="F17">
        <v>0.18407</v>
      </c>
      <c r="G17">
        <f aca="true" t="shared" si="2" ref="G17:G46">LOG(F17)</f>
        <v>-0.7350169876835396</v>
      </c>
      <c r="I17">
        <v>2.2744</v>
      </c>
      <c r="J17">
        <v>2.9783</v>
      </c>
      <c r="L17">
        <f aca="true" t="shared" si="3" ref="L17:L46">(A17-3/8)/31.25</f>
        <v>0.052</v>
      </c>
      <c r="N17">
        <f aca="true" t="shared" si="4" ref="N17:N46">NORMSINV(L17)</f>
        <v>-1.6257632924497036</v>
      </c>
      <c r="O17">
        <v>0.2735</v>
      </c>
      <c r="P17">
        <f aca="true" t="shared" si="5" ref="P17:P46">LOG(O17)</f>
        <v>-0.5630426693305504</v>
      </c>
      <c r="S17">
        <v>15.7985</v>
      </c>
      <c r="T17">
        <v>7.3293</v>
      </c>
      <c r="U17">
        <f aca="true" t="shared" si="6" ref="U17:U35">(A17-3/8)/20.25</f>
        <v>0.08024691358024691</v>
      </c>
      <c r="V17">
        <f aca="true" t="shared" si="7" ref="V17:V35">NORMSINV(U17)</f>
        <v>-1.403412980414076</v>
      </c>
      <c r="W17">
        <v>7.0753</v>
      </c>
      <c r="X17">
        <f aca="true" t="shared" si="8" ref="X17:X35">LOG(W17)</f>
        <v>0.8497448591196285</v>
      </c>
      <c r="AB17">
        <v>0.5363</v>
      </c>
      <c r="AC17">
        <v>68.5043</v>
      </c>
    </row>
    <row r="18" spans="1:29" ht="12.75">
      <c r="A18">
        <v>3</v>
      </c>
      <c r="B18">
        <v>15.508</v>
      </c>
      <c r="C18">
        <v>1.7032</v>
      </c>
      <c r="D18">
        <f t="shared" si="0"/>
        <v>0.084</v>
      </c>
      <c r="E18">
        <f t="shared" si="1"/>
        <v>-1.3786590913461043</v>
      </c>
      <c r="F18">
        <v>0.26087</v>
      </c>
      <c r="G18">
        <f t="shared" si="2"/>
        <v>-0.583575861810416</v>
      </c>
      <c r="I18">
        <v>15.3523</v>
      </c>
      <c r="J18">
        <v>0.6086</v>
      </c>
      <c r="L18">
        <f t="shared" si="3"/>
        <v>0.084</v>
      </c>
      <c r="N18">
        <f t="shared" si="4"/>
        <v>-1.3786590913461043</v>
      </c>
      <c r="O18">
        <v>0.3427</v>
      </c>
      <c r="P18">
        <f t="shared" si="5"/>
        <v>-0.4650858955701331</v>
      </c>
      <c r="S18">
        <v>16.0261</v>
      </c>
      <c r="T18">
        <v>9.7539</v>
      </c>
      <c r="U18">
        <f t="shared" si="6"/>
        <v>0.12962962962962962</v>
      </c>
      <c r="V18">
        <f t="shared" si="7"/>
        <v>-1.1281438731534634</v>
      </c>
      <c r="W18">
        <v>7.3293</v>
      </c>
      <c r="X18">
        <f t="shared" si="8"/>
        <v>0.8650624984263614</v>
      </c>
      <c r="AB18">
        <v>0.9092</v>
      </c>
      <c r="AC18">
        <v>77.5225</v>
      </c>
    </row>
    <row r="19" spans="1:29" ht="12.75">
      <c r="A19">
        <v>4</v>
      </c>
      <c r="B19">
        <v>15.597</v>
      </c>
      <c r="C19">
        <v>0.38644</v>
      </c>
      <c r="D19">
        <f t="shared" si="0"/>
        <v>0.116</v>
      </c>
      <c r="E19">
        <f t="shared" si="1"/>
        <v>-1.195223093192288</v>
      </c>
      <c r="F19">
        <v>0.38644</v>
      </c>
      <c r="G19">
        <f t="shared" si="2"/>
        <v>-0.4129179265625024</v>
      </c>
      <c r="I19">
        <v>17.0888</v>
      </c>
      <c r="J19">
        <v>3.7877</v>
      </c>
      <c r="L19">
        <f t="shared" si="3"/>
        <v>0.116</v>
      </c>
      <c r="N19">
        <f t="shared" si="4"/>
        <v>-1.195223093192288</v>
      </c>
      <c r="O19">
        <v>0.4328</v>
      </c>
      <c r="P19">
        <f t="shared" si="5"/>
        <v>-0.36371274790148694</v>
      </c>
      <c r="S19">
        <v>16.7743</v>
      </c>
      <c r="T19">
        <v>8.2751</v>
      </c>
      <c r="U19">
        <f t="shared" si="6"/>
        <v>0.17901234567901234</v>
      </c>
      <c r="V19">
        <f t="shared" si="7"/>
        <v>-0.9191354215450902</v>
      </c>
      <c r="W19">
        <v>8.2751</v>
      </c>
      <c r="X19">
        <f t="shared" si="8"/>
        <v>0.9177732506877296</v>
      </c>
      <c r="AB19">
        <v>0.9444</v>
      </c>
      <c r="AC19">
        <v>75.372</v>
      </c>
    </row>
    <row r="20" spans="1:29" ht="12.75">
      <c r="A20">
        <v>5</v>
      </c>
      <c r="B20">
        <v>16.566</v>
      </c>
      <c r="C20">
        <v>2.0009</v>
      </c>
      <c r="D20">
        <f t="shared" si="0"/>
        <v>0.148</v>
      </c>
      <c r="E20">
        <f t="shared" si="1"/>
        <v>-1.0450497979832858</v>
      </c>
      <c r="F20">
        <v>0.55707</v>
      </c>
      <c r="G20">
        <f t="shared" si="2"/>
        <v>-0.25409022905675355</v>
      </c>
      <c r="I20">
        <v>18.2561</v>
      </c>
      <c r="J20">
        <v>0.7135</v>
      </c>
      <c r="L20">
        <f t="shared" si="3"/>
        <v>0.148</v>
      </c>
      <c r="N20">
        <f t="shared" si="4"/>
        <v>-1.0450497979832858</v>
      </c>
      <c r="O20">
        <v>0.4531</v>
      </c>
      <c r="P20">
        <f t="shared" si="5"/>
        <v>-0.3438059378208142</v>
      </c>
      <c r="S20">
        <v>18.5318</v>
      </c>
      <c r="T20">
        <v>12.3291</v>
      </c>
      <c r="U20">
        <f t="shared" si="6"/>
        <v>0.22839506172839505</v>
      </c>
      <c r="V20">
        <f t="shared" si="7"/>
        <v>-0.7441425003572018</v>
      </c>
      <c r="W20">
        <v>8.4</v>
      </c>
      <c r="X20">
        <f t="shared" si="8"/>
        <v>0.9242792860618817</v>
      </c>
      <c r="AB20">
        <v>1.0633</v>
      </c>
      <c r="AC20">
        <v>51.3126</v>
      </c>
    </row>
    <row r="21" spans="1:29" ht="12.75">
      <c r="A21">
        <v>6</v>
      </c>
      <c r="B21">
        <v>18.182</v>
      </c>
      <c r="C21">
        <v>2.0013</v>
      </c>
      <c r="D21">
        <f t="shared" si="0"/>
        <v>0.18</v>
      </c>
      <c r="E21">
        <f t="shared" si="1"/>
        <v>-0.9153649821073433</v>
      </c>
      <c r="F21">
        <v>0.85741</v>
      </c>
      <c r="G21">
        <f t="shared" si="2"/>
        <v>-0.06681145560554361</v>
      </c>
      <c r="I21">
        <v>18.7918</v>
      </c>
      <c r="J21">
        <v>0.481</v>
      </c>
      <c r="L21">
        <f t="shared" si="3"/>
        <v>0.18</v>
      </c>
      <c r="N21">
        <f t="shared" si="4"/>
        <v>-0.9153649821073433</v>
      </c>
      <c r="O21">
        <v>0.481</v>
      </c>
      <c r="P21">
        <f t="shared" si="5"/>
        <v>-0.31785492362616824</v>
      </c>
      <c r="S21">
        <v>22.7167</v>
      </c>
      <c r="T21">
        <v>4.2485</v>
      </c>
      <c r="U21">
        <f t="shared" si="6"/>
        <v>0.2777777777777778</v>
      </c>
      <c r="V21">
        <f t="shared" si="7"/>
        <v>-0.5894556520801435</v>
      </c>
      <c r="W21">
        <v>9.3627</v>
      </c>
      <c r="X21">
        <f t="shared" si="8"/>
        <v>0.9714011079271396</v>
      </c>
      <c r="AB21">
        <v>1.1134</v>
      </c>
      <c r="AC21">
        <v>59.3368</v>
      </c>
    </row>
    <row r="22" spans="1:29" ht="12.75">
      <c r="A22">
        <v>7</v>
      </c>
      <c r="B22">
        <v>18.279</v>
      </c>
      <c r="C22">
        <v>0.55707</v>
      </c>
      <c r="D22">
        <f t="shared" si="0"/>
        <v>0.212</v>
      </c>
      <c r="E22">
        <f t="shared" si="1"/>
        <v>-0.7995007196906758</v>
      </c>
      <c r="F22">
        <v>0.98298</v>
      </c>
      <c r="G22">
        <f t="shared" si="2"/>
        <v>-0.0074553183611505555</v>
      </c>
      <c r="I22">
        <v>19.9178</v>
      </c>
      <c r="J22">
        <v>0.8081</v>
      </c>
      <c r="L22">
        <f t="shared" si="3"/>
        <v>0.212</v>
      </c>
      <c r="N22">
        <f t="shared" si="4"/>
        <v>-0.7995007196906758</v>
      </c>
      <c r="O22">
        <v>0.5838</v>
      </c>
      <c r="P22">
        <f t="shared" si="5"/>
        <v>-0.23373590934800448</v>
      </c>
      <c r="S22">
        <v>22.7377</v>
      </c>
      <c r="T22">
        <v>9.3627</v>
      </c>
      <c r="U22">
        <f t="shared" si="6"/>
        <v>0.3271604938271605</v>
      </c>
      <c r="V22">
        <f t="shared" si="7"/>
        <v>-0.44776757974978787</v>
      </c>
      <c r="W22">
        <v>9.4702</v>
      </c>
      <c r="X22">
        <f t="shared" si="8"/>
        <v>0.9763591509123751</v>
      </c>
      <c r="AB22">
        <v>1.1272</v>
      </c>
      <c r="AC22">
        <v>71.8592</v>
      </c>
    </row>
    <row r="23" spans="1:29" ht="12.75">
      <c r="A23">
        <v>8</v>
      </c>
      <c r="B23">
        <v>19.322</v>
      </c>
      <c r="C23">
        <v>1.0671</v>
      </c>
      <c r="D23">
        <f t="shared" si="0"/>
        <v>0.244</v>
      </c>
      <c r="E23">
        <f t="shared" si="1"/>
        <v>-0.6934931125271351</v>
      </c>
      <c r="F23">
        <v>1.0671</v>
      </c>
      <c r="G23">
        <f t="shared" si="2"/>
        <v>0.028205119905442746</v>
      </c>
      <c r="I23">
        <v>22.3685</v>
      </c>
      <c r="J23">
        <v>0.3427</v>
      </c>
      <c r="L23">
        <f t="shared" si="3"/>
        <v>0.244</v>
      </c>
      <c r="N23">
        <f t="shared" si="4"/>
        <v>-0.6934931125271351</v>
      </c>
      <c r="O23">
        <v>0.6086</v>
      </c>
      <c r="P23">
        <f t="shared" si="5"/>
        <v>-0.2156680519778517</v>
      </c>
      <c r="S23">
        <v>24.6767</v>
      </c>
      <c r="T23">
        <v>11.7816</v>
      </c>
      <c r="U23">
        <f t="shared" si="6"/>
        <v>0.3765432098765432</v>
      </c>
      <c r="V23">
        <f t="shared" si="7"/>
        <v>-0.31457246373094394</v>
      </c>
      <c r="W23">
        <v>9.7539</v>
      </c>
      <c r="X23">
        <f t="shared" si="8"/>
        <v>0.9891782987570017</v>
      </c>
      <c r="AB23">
        <v>1.1622</v>
      </c>
      <c r="AC23">
        <v>49.1653</v>
      </c>
    </row>
    <row r="24" spans="1:29" ht="12.75">
      <c r="A24">
        <v>9</v>
      </c>
      <c r="B24">
        <v>22.56</v>
      </c>
      <c r="C24">
        <v>0.98298</v>
      </c>
      <c r="D24">
        <f t="shared" si="0"/>
        <v>0.276</v>
      </c>
      <c r="E24">
        <f t="shared" si="1"/>
        <v>-0.5947656945386177</v>
      </c>
      <c r="F24">
        <v>1.2853</v>
      </c>
      <c r="G24">
        <f t="shared" si="2"/>
        <v>0.10900450754138459</v>
      </c>
      <c r="I24">
        <v>22.3969</v>
      </c>
      <c r="J24">
        <v>0.7546</v>
      </c>
      <c r="L24">
        <f t="shared" si="3"/>
        <v>0.276</v>
      </c>
      <c r="N24">
        <f t="shared" si="4"/>
        <v>-0.5947656945386177</v>
      </c>
      <c r="O24">
        <v>0.6099</v>
      </c>
      <c r="P24">
        <f t="shared" si="5"/>
        <v>-0.21474136664229895</v>
      </c>
      <c r="S24">
        <v>26.8961</v>
      </c>
      <c r="T24">
        <v>8.4</v>
      </c>
      <c r="U24">
        <f t="shared" si="6"/>
        <v>0.42592592592592593</v>
      </c>
      <c r="V24">
        <f t="shared" si="7"/>
        <v>-0.18675615184438088</v>
      </c>
      <c r="W24">
        <v>10.3208</v>
      </c>
      <c r="X24">
        <f t="shared" si="8"/>
        <v>1.0137133622252743</v>
      </c>
      <c r="AB24">
        <v>1.1924</v>
      </c>
      <c r="AC24">
        <v>36.645</v>
      </c>
    </row>
    <row r="25" spans="1:29" ht="12.75">
      <c r="A25">
        <v>10</v>
      </c>
      <c r="B25">
        <v>22.609</v>
      </c>
      <c r="C25">
        <v>0.26087</v>
      </c>
      <c r="D25">
        <f t="shared" si="0"/>
        <v>0.308</v>
      </c>
      <c r="E25">
        <f t="shared" si="1"/>
        <v>-0.5015273793242041</v>
      </c>
      <c r="F25">
        <v>1.371</v>
      </c>
      <c r="G25">
        <f t="shared" si="2"/>
        <v>0.13703745478951265</v>
      </c>
      <c r="I25">
        <v>24.3563</v>
      </c>
      <c r="J25">
        <v>1.1661</v>
      </c>
      <c r="L25">
        <f t="shared" si="3"/>
        <v>0.308</v>
      </c>
      <c r="N25">
        <f t="shared" si="4"/>
        <v>-0.5015273793242041</v>
      </c>
      <c r="O25">
        <v>0.648</v>
      </c>
      <c r="P25">
        <f t="shared" si="5"/>
        <v>-0.18842499412940666</v>
      </c>
      <c r="S25">
        <v>27.6801</v>
      </c>
      <c r="T25">
        <v>17.4132</v>
      </c>
      <c r="U25">
        <f t="shared" si="6"/>
        <v>0.47530864197530864</v>
      </c>
      <c r="V25">
        <f t="shared" si="7"/>
        <v>-0.061931447326583094</v>
      </c>
      <c r="W25">
        <v>10.749</v>
      </c>
      <c r="X25">
        <f t="shared" si="8"/>
        <v>1.031368062885773</v>
      </c>
      <c r="AB25">
        <v>1.2382</v>
      </c>
      <c r="AC25">
        <v>43.4951</v>
      </c>
    </row>
    <row r="26" spans="1:29" ht="12.75">
      <c r="A26">
        <v>11</v>
      </c>
      <c r="B26">
        <v>27.681</v>
      </c>
      <c r="C26">
        <v>4.9348</v>
      </c>
      <c r="D26">
        <f t="shared" si="0"/>
        <v>0.34</v>
      </c>
      <c r="E26">
        <f t="shared" si="1"/>
        <v>-0.4124632374046655</v>
      </c>
      <c r="F26">
        <v>1.5295</v>
      </c>
      <c r="G26">
        <f t="shared" si="2"/>
        <v>0.1845494813206975</v>
      </c>
      <c r="I26">
        <v>26.3895</v>
      </c>
      <c r="J26">
        <v>0.648</v>
      </c>
      <c r="L26">
        <f t="shared" si="3"/>
        <v>0.34</v>
      </c>
      <c r="N26">
        <f t="shared" si="4"/>
        <v>-0.4124632374046655</v>
      </c>
      <c r="O26">
        <v>0.7135</v>
      </c>
      <c r="P26">
        <f t="shared" si="5"/>
        <v>-0.14660602254933422</v>
      </c>
      <c r="S26">
        <v>29.7581</v>
      </c>
      <c r="T26">
        <v>13.9793</v>
      </c>
      <c r="U26">
        <f t="shared" si="6"/>
        <v>0.5246913580246914</v>
      </c>
      <c r="V26">
        <f t="shared" si="7"/>
        <v>0.061931447326583094</v>
      </c>
      <c r="W26">
        <v>11.7816</v>
      </c>
      <c r="X26">
        <f t="shared" si="8"/>
        <v>1.0712042738114753</v>
      </c>
      <c r="AB26">
        <v>1.3065</v>
      </c>
      <c r="AC26">
        <v>75.7811</v>
      </c>
    </row>
    <row r="27" spans="1:29" ht="12.75">
      <c r="A27">
        <v>12</v>
      </c>
      <c r="B27">
        <v>29.489</v>
      </c>
      <c r="C27">
        <v>2.0892</v>
      </c>
      <c r="D27">
        <f t="shared" si="0"/>
        <v>0.372</v>
      </c>
      <c r="E27">
        <f t="shared" si="1"/>
        <v>-0.3265610985120623</v>
      </c>
      <c r="F27">
        <v>1.6703</v>
      </c>
      <c r="G27">
        <f t="shared" si="2"/>
        <v>0.22279448111370684</v>
      </c>
      <c r="I27">
        <v>27.5978</v>
      </c>
      <c r="J27">
        <v>2.1688</v>
      </c>
      <c r="L27">
        <f t="shared" si="3"/>
        <v>0.372</v>
      </c>
      <c r="N27">
        <f t="shared" si="4"/>
        <v>-0.3265610985120623</v>
      </c>
      <c r="O27">
        <v>0.7546</v>
      </c>
      <c r="P27">
        <f t="shared" si="5"/>
        <v>-0.12228319913502324</v>
      </c>
      <c r="S27">
        <v>30.081</v>
      </c>
      <c r="T27">
        <v>12.3965</v>
      </c>
      <c r="U27">
        <f t="shared" si="6"/>
        <v>0.5740740740740741</v>
      </c>
      <c r="V27">
        <f t="shared" si="7"/>
        <v>0.18675615184438088</v>
      </c>
      <c r="W27">
        <v>12.2233</v>
      </c>
      <c r="X27">
        <f t="shared" si="8"/>
        <v>1.087188470907496</v>
      </c>
      <c r="AB27">
        <v>1.328</v>
      </c>
      <c r="AC27">
        <v>29.4125</v>
      </c>
    </row>
    <row r="28" spans="1:29" ht="12.75">
      <c r="A28">
        <v>13</v>
      </c>
      <c r="B28">
        <v>29.572</v>
      </c>
      <c r="C28">
        <v>0.85741</v>
      </c>
      <c r="D28">
        <f t="shared" si="0"/>
        <v>0.404</v>
      </c>
      <c r="E28">
        <f t="shared" si="1"/>
        <v>-0.24300709321441671</v>
      </c>
      <c r="F28">
        <v>1.6748</v>
      </c>
      <c r="G28">
        <f t="shared" si="2"/>
        <v>0.22396295221919288</v>
      </c>
      <c r="I28">
        <v>29.4196</v>
      </c>
      <c r="J28">
        <v>0.5838</v>
      </c>
      <c r="L28">
        <f t="shared" si="3"/>
        <v>0.404</v>
      </c>
      <c r="N28">
        <f t="shared" si="4"/>
        <v>-0.24300709321441671</v>
      </c>
      <c r="O28">
        <v>0.8081</v>
      </c>
      <c r="P28">
        <f t="shared" si="5"/>
        <v>-0.09253489323414378</v>
      </c>
      <c r="S28">
        <v>34.6484</v>
      </c>
      <c r="T28">
        <v>12.2233</v>
      </c>
      <c r="U28">
        <f t="shared" si="6"/>
        <v>0.6234567901234568</v>
      </c>
      <c r="V28">
        <f t="shared" si="7"/>
        <v>0.31457246373094394</v>
      </c>
      <c r="W28">
        <v>12.3291</v>
      </c>
      <c r="X28">
        <f t="shared" si="8"/>
        <v>1.0909313751115828</v>
      </c>
      <c r="AB28">
        <v>1.4479</v>
      </c>
      <c r="AC28">
        <v>56.0271</v>
      </c>
    </row>
    <row r="29" spans="1:29" ht="12.75">
      <c r="A29">
        <v>14</v>
      </c>
      <c r="B29">
        <v>30.501</v>
      </c>
      <c r="C29">
        <v>3.0665</v>
      </c>
      <c r="D29">
        <f t="shared" si="0"/>
        <v>0.436</v>
      </c>
      <c r="E29">
        <f t="shared" si="1"/>
        <v>-0.16111856451397683</v>
      </c>
      <c r="F29">
        <v>1.7032</v>
      </c>
      <c r="G29">
        <f t="shared" si="2"/>
        <v>0.23126564843026617</v>
      </c>
      <c r="I29">
        <v>29.7122</v>
      </c>
      <c r="J29">
        <v>0.8267</v>
      </c>
      <c r="L29">
        <f t="shared" si="3"/>
        <v>0.436</v>
      </c>
      <c r="N29">
        <f t="shared" si="4"/>
        <v>-0.16111856451397683</v>
      </c>
      <c r="O29">
        <v>0.8267</v>
      </c>
      <c r="P29">
        <f t="shared" si="5"/>
        <v>-0.08265206237222837</v>
      </c>
      <c r="S29">
        <v>35.977</v>
      </c>
      <c r="T29">
        <v>10.3208</v>
      </c>
      <c r="U29">
        <f t="shared" si="6"/>
        <v>0.6728395061728395</v>
      </c>
      <c r="V29">
        <f t="shared" si="7"/>
        <v>0.44776757974978765</v>
      </c>
      <c r="W29">
        <v>12.3965</v>
      </c>
      <c r="X29">
        <f t="shared" si="8"/>
        <v>1.0932990847390498</v>
      </c>
      <c r="AB29">
        <v>1.4484</v>
      </c>
      <c r="AC29">
        <v>65.4184</v>
      </c>
    </row>
    <row r="30" spans="1:29" ht="12.75">
      <c r="A30">
        <v>15</v>
      </c>
      <c r="B30">
        <v>35.432</v>
      </c>
      <c r="C30">
        <v>1.836</v>
      </c>
      <c r="D30">
        <f t="shared" si="0"/>
        <v>0.468</v>
      </c>
      <c r="E30">
        <f t="shared" si="1"/>
        <v>-0.08029814297199167</v>
      </c>
      <c r="F30">
        <v>1.836</v>
      </c>
      <c r="G30">
        <f t="shared" si="2"/>
        <v>0.26387267686522364</v>
      </c>
      <c r="I30">
        <v>30.4907</v>
      </c>
      <c r="J30">
        <v>2.1152</v>
      </c>
      <c r="L30">
        <f t="shared" si="3"/>
        <v>0.468</v>
      </c>
      <c r="N30">
        <f t="shared" si="4"/>
        <v>-0.08029814297199167</v>
      </c>
      <c r="O30">
        <v>0.8755</v>
      </c>
      <c r="P30">
        <f t="shared" si="5"/>
        <v>-0.05774384958053509</v>
      </c>
      <c r="S30">
        <v>44.725</v>
      </c>
      <c r="T30">
        <v>14.2463</v>
      </c>
      <c r="U30">
        <f t="shared" si="6"/>
        <v>0.7222222222222222</v>
      </c>
      <c r="V30">
        <f t="shared" si="7"/>
        <v>0.5894556520801433</v>
      </c>
      <c r="W30">
        <v>13.9793</v>
      </c>
      <c r="X30">
        <f t="shared" si="8"/>
        <v>1.1454854250757132</v>
      </c>
      <c r="AB30">
        <v>1.4644</v>
      </c>
      <c r="AC30">
        <v>41.5496</v>
      </c>
    </row>
    <row r="31" spans="1:29" ht="12.75">
      <c r="A31">
        <v>16</v>
      </c>
      <c r="B31">
        <v>41.395</v>
      </c>
      <c r="C31">
        <v>1.2853</v>
      </c>
      <c r="D31">
        <f t="shared" si="0"/>
        <v>0.5</v>
      </c>
      <c r="E31">
        <f t="shared" si="1"/>
        <v>5.471417352459603E-10</v>
      </c>
      <c r="F31">
        <v>2.0009</v>
      </c>
      <c r="G31">
        <f t="shared" si="2"/>
        <v>0.30122538422170864</v>
      </c>
      <c r="I31">
        <v>41.1333</v>
      </c>
      <c r="J31">
        <v>0.4328</v>
      </c>
      <c r="L31">
        <f t="shared" si="3"/>
        <v>0.5</v>
      </c>
      <c r="N31">
        <f t="shared" si="4"/>
        <v>5.471417352459603E-10</v>
      </c>
      <c r="O31">
        <v>0.9041</v>
      </c>
      <c r="P31">
        <f t="shared" si="5"/>
        <v>-0.04378353075660991</v>
      </c>
      <c r="S31">
        <v>44.8955</v>
      </c>
      <c r="T31">
        <v>7.0753</v>
      </c>
      <c r="U31">
        <f t="shared" si="6"/>
        <v>0.7716049382716049</v>
      </c>
      <c r="V31">
        <f t="shared" si="7"/>
        <v>0.7441425003572018</v>
      </c>
      <c r="W31">
        <v>14.2463</v>
      </c>
      <c r="X31">
        <f t="shared" si="8"/>
        <v>1.153702085521168</v>
      </c>
      <c r="AB31">
        <v>1.5014</v>
      </c>
      <c r="AC31">
        <v>35.4862</v>
      </c>
    </row>
    <row r="32" spans="1:29" ht="12.75">
      <c r="A32">
        <v>17</v>
      </c>
      <c r="B32">
        <v>44.083</v>
      </c>
      <c r="C32">
        <v>1.371</v>
      </c>
      <c r="D32">
        <f t="shared" si="0"/>
        <v>0.532</v>
      </c>
      <c r="E32">
        <f t="shared" si="1"/>
        <v>0.08029814297199167</v>
      </c>
      <c r="F32">
        <v>2.0013</v>
      </c>
      <c r="G32">
        <f t="shared" si="2"/>
        <v>0.3013121953722457</v>
      </c>
      <c r="I32">
        <v>44.4327</v>
      </c>
      <c r="J32">
        <v>0.2735</v>
      </c>
      <c r="L32">
        <f t="shared" si="3"/>
        <v>0.532</v>
      </c>
      <c r="N32">
        <f t="shared" si="4"/>
        <v>0.08029814297199167</v>
      </c>
      <c r="O32">
        <v>1.0111</v>
      </c>
      <c r="P32">
        <f t="shared" si="5"/>
        <v>0.0047941103887121335</v>
      </c>
      <c r="S32">
        <v>54.1077</v>
      </c>
      <c r="T32">
        <v>9.4702</v>
      </c>
      <c r="U32">
        <f t="shared" si="6"/>
        <v>0.8209876543209876</v>
      </c>
      <c r="V32">
        <f t="shared" si="7"/>
        <v>0.9191354215450898</v>
      </c>
      <c r="W32">
        <v>14.5826</v>
      </c>
      <c r="X32">
        <f t="shared" si="8"/>
        <v>1.1638349632813283</v>
      </c>
      <c r="AB32">
        <v>1.6456</v>
      </c>
      <c r="AC32">
        <v>30.7976</v>
      </c>
    </row>
    <row r="33" spans="1:29" ht="12.75">
      <c r="A33">
        <v>18</v>
      </c>
      <c r="B33">
        <v>44.57</v>
      </c>
      <c r="C33">
        <v>2.1357</v>
      </c>
      <c r="D33">
        <f t="shared" si="0"/>
        <v>0.564</v>
      </c>
      <c r="E33">
        <f t="shared" si="1"/>
        <v>0.16111856451397683</v>
      </c>
      <c r="F33">
        <v>2.0529</v>
      </c>
      <c r="G33">
        <f t="shared" si="2"/>
        <v>0.3123677947159735</v>
      </c>
      <c r="I33">
        <v>44.445</v>
      </c>
      <c r="J33">
        <v>0.4531</v>
      </c>
      <c r="L33">
        <f t="shared" si="3"/>
        <v>0.564</v>
      </c>
      <c r="N33">
        <f t="shared" si="4"/>
        <v>0.16111856451397683</v>
      </c>
      <c r="O33">
        <v>1.0166</v>
      </c>
      <c r="P33">
        <f t="shared" si="5"/>
        <v>0.00715010536668475</v>
      </c>
      <c r="S33">
        <v>56.6244</v>
      </c>
      <c r="T33">
        <v>17.5814</v>
      </c>
      <c r="U33">
        <f t="shared" si="6"/>
        <v>0.8703703703703703</v>
      </c>
      <c r="V33">
        <f t="shared" si="7"/>
        <v>1.1281438731534634</v>
      </c>
      <c r="W33">
        <v>17.4132</v>
      </c>
      <c r="X33">
        <f t="shared" si="8"/>
        <v>1.2408785881557425</v>
      </c>
      <c r="AB33">
        <v>1.6811</v>
      </c>
      <c r="AC33">
        <v>59.7559</v>
      </c>
    </row>
    <row r="34" spans="1:29" ht="12.75">
      <c r="A34">
        <v>19</v>
      </c>
      <c r="B34">
        <v>44.702</v>
      </c>
      <c r="C34">
        <v>0.18178</v>
      </c>
      <c r="D34">
        <f t="shared" si="0"/>
        <v>0.596</v>
      </c>
      <c r="E34">
        <f t="shared" si="1"/>
        <v>0.24300709321441671</v>
      </c>
      <c r="F34">
        <v>2.0892</v>
      </c>
      <c r="G34">
        <f t="shared" si="2"/>
        <v>0.319980017164956</v>
      </c>
      <c r="I34">
        <v>44.75</v>
      </c>
      <c r="J34">
        <v>0.8755</v>
      </c>
      <c r="L34">
        <f t="shared" si="3"/>
        <v>0.596</v>
      </c>
      <c r="N34">
        <f t="shared" si="4"/>
        <v>0.24300709321441671</v>
      </c>
      <c r="O34">
        <v>1.148</v>
      </c>
      <c r="P34">
        <f t="shared" si="5"/>
        <v>0.05994188806195468</v>
      </c>
      <c r="S34">
        <v>60.6048</v>
      </c>
      <c r="T34">
        <v>24.1061</v>
      </c>
      <c r="U34">
        <f t="shared" si="6"/>
        <v>0.9197530864197531</v>
      </c>
      <c r="V34">
        <f t="shared" si="7"/>
        <v>1.4034129804140751</v>
      </c>
      <c r="W34">
        <v>17.5814</v>
      </c>
      <c r="X34">
        <f t="shared" si="8"/>
        <v>1.2450534548143248</v>
      </c>
      <c r="AB34">
        <v>1.6928</v>
      </c>
      <c r="AC34">
        <v>45.0826</v>
      </c>
    </row>
    <row r="35" spans="1:29" ht="12.75">
      <c r="A35">
        <v>20</v>
      </c>
      <c r="B35">
        <v>46.59</v>
      </c>
      <c r="C35">
        <v>4.1327</v>
      </c>
      <c r="D35">
        <f t="shared" si="0"/>
        <v>0.628</v>
      </c>
      <c r="E35">
        <f t="shared" si="1"/>
        <v>0.3265610985120623</v>
      </c>
      <c r="F35">
        <v>2.1357</v>
      </c>
      <c r="G35">
        <f t="shared" si="2"/>
        <v>0.32954024765666384</v>
      </c>
      <c r="I35">
        <v>47.0914</v>
      </c>
      <c r="J35">
        <v>4.8256</v>
      </c>
      <c r="L35">
        <f t="shared" si="3"/>
        <v>0.628</v>
      </c>
      <c r="N35">
        <f t="shared" si="4"/>
        <v>0.3265610985120623</v>
      </c>
      <c r="O35">
        <v>1.1661</v>
      </c>
      <c r="P35">
        <f t="shared" si="5"/>
        <v>0.06673579535092883</v>
      </c>
      <c r="S35">
        <v>70.6707</v>
      </c>
      <c r="T35">
        <v>14.5826</v>
      </c>
      <c r="U35">
        <f t="shared" si="6"/>
        <v>0.9691358024691358</v>
      </c>
      <c r="V35">
        <f t="shared" si="7"/>
        <v>1.8682407386823847</v>
      </c>
      <c r="W35">
        <v>24.1061</v>
      </c>
      <c r="X35">
        <f t="shared" si="8"/>
        <v>1.382126953824845</v>
      </c>
      <c r="AB35">
        <v>1.7196</v>
      </c>
      <c r="AC35">
        <v>29.6273</v>
      </c>
    </row>
    <row r="36" spans="1:29" ht="12.75">
      <c r="A36">
        <v>21</v>
      </c>
      <c r="B36">
        <v>47.639</v>
      </c>
      <c r="C36">
        <v>4.5578</v>
      </c>
      <c r="D36">
        <f t="shared" si="0"/>
        <v>0.66</v>
      </c>
      <c r="E36">
        <f t="shared" si="1"/>
        <v>0.4124632374046655</v>
      </c>
      <c r="F36">
        <v>2.1801</v>
      </c>
      <c r="G36">
        <f t="shared" si="2"/>
        <v>0.33847641491292246</v>
      </c>
      <c r="I36">
        <v>47.5749</v>
      </c>
      <c r="J36">
        <v>1.836</v>
      </c>
      <c r="L36">
        <f t="shared" si="3"/>
        <v>0.66</v>
      </c>
      <c r="N36">
        <f t="shared" si="4"/>
        <v>0.4124632374046655</v>
      </c>
      <c r="O36">
        <v>1.4225</v>
      </c>
      <c r="P36">
        <f t="shared" si="5"/>
        <v>0.1530522750671088</v>
      </c>
      <c r="AB36">
        <v>1.8266</v>
      </c>
      <c r="AC36">
        <v>52.3282</v>
      </c>
    </row>
    <row r="37" spans="1:29" ht="12.75">
      <c r="A37">
        <v>22</v>
      </c>
      <c r="B37">
        <v>51.57</v>
      </c>
      <c r="C37">
        <v>2.1801</v>
      </c>
      <c r="D37">
        <f t="shared" si="0"/>
        <v>0.692</v>
      </c>
      <c r="E37">
        <f t="shared" si="1"/>
        <v>0.5015273793242037</v>
      </c>
      <c r="F37">
        <v>2.8648</v>
      </c>
      <c r="G37">
        <f t="shared" si="2"/>
        <v>0.4570943080038465</v>
      </c>
      <c r="I37">
        <v>50.6627</v>
      </c>
      <c r="J37">
        <v>0.6099</v>
      </c>
      <c r="L37">
        <f t="shared" si="3"/>
        <v>0.692</v>
      </c>
      <c r="N37">
        <f t="shared" si="4"/>
        <v>0.5015273793242037</v>
      </c>
      <c r="O37">
        <v>1.6723</v>
      </c>
      <c r="P37">
        <f t="shared" si="5"/>
        <v>0.2233141897641347</v>
      </c>
      <c r="AB37">
        <v>2.134</v>
      </c>
      <c r="AC37">
        <v>65.0607</v>
      </c>
    </row>
    <row r="38" spans="1:29" ht="12.75">
      <c r="A38">
        <v>23</v>
      </c>
      <c r="B38">
        <v>51.605</v>
      </c>
      <c r="C38">
        <v>1.6703</v>
      </c>
      <c r="D38">
        <f t="shared" si="0"/>
        <v>0.724</v>
      </c>
      <c r="E38">
        <f t="shared" si="1"/>
        <v>0.5947656945386168</v>
      </c>
      <c r="F38">
        <v>3.0665</v>
      </c>
      <c r="G38">
        <f t="shared" si="2"/>
        <v>0.4866429690235118</v>
      </c>
      <c r="I38">
        <v>51.3801</v>
      </c>
      <c r="J38">
        <v>1.0111</v>
      </c>
      <c r="L38">
        <f t="shared" si="3"/>
        <v>0.724</v>
      </c>
      <c r="N38">
        <f t="shared" si="4"/>
        <v>0.5947656945386168</v>
      </c>
      <c r="O38">
        <v>1.7713</v>
      </c>
      <c r="P38">
        <f t="shared" si="5"/>
        <v>0.24829212263031555</v>
      </c>
      <c r="AB38">
        <v>2.2015</v>
      </c>
      <c r="AC38">
        <v>56.8466</v>
      </c>
    </row>
    <row r="39" spans="1:29" ht="12.75">
      <c r="A39">
        <v>24</v>
      </c>
      <c r="B39">
        <v>52.571</v>
      </c>
      <c r="C39">
        <v>3.3272</v>
      </c>
      <c r="D39">
        <f t="shared" si="0"/>
        <v>0.756</v>
      </c>
      <c r="E39">
        <f t="shared" si="1"/>
        <v>0.6934931125271346</v>
      </c>
      <c r="F39">
        <v>3.3272</v>
      </c>
      <c r="G39">
        <f t="shared" si="2"/>
        <v>0.5220789073568772</v>
      </c>
      <c r="I39">
        <v>52.6739</v>
      </c>
      <c r="J39">
        <v>1.7713</v>
      </c>
      <c r="L39">
        <f t="shared" si="3"/>
        <v>0.756</v>
      </c>
      <c r="N39">
        <f t="shared" si="4"/>
        <v>0.6934931125271346</v>
      </c>
      <c r="O39">
        <v>1.8115</v>
      </c>
      <c r="P39">
        <f t="shared" si="5"/>
        <v>0.2580383383705557</v>
      </c>
      <c r="AB39">
        <v>2.3666</v>
      </c>
      <c r="AC39">
        <v>17.3329</v>
      </c>
    </row>
    <row r="40" spans="1:29" ht="12.75">
      <c r="A40">
        <v>25</v>
      </c>
      <c r="B40">
        <v>52.656</v>
      </c>
      <c r="C40">
        <v>2.0529</v>
      </c>
      <c r="D40">
        <f t="shared" si="0"/>
        <v>0.788</v>
      </c>
      <c r="E40">
        <f t="shared" si="1"/>
        <v>0.7995007196906758</v>
      </c>
      <c r="F40">
        <v>3.3709</v>
      </c>
      <c r="G40">
        <f t="shared" si="2"/>
        <v>0.5277458690761883</v>
      </c>
      <c r="I40">
        <v>52.9784</v>
      </c>
      <c r="J40">
        <v>0.1867</v>
      </c>
      <c r="L40">
        <f t="shared" si="3"/>
        <v>0.788</v>
      </c>
      <c r="N40">
        <f t="shared" si="4"/>
        <v>0.7995007196906758</v>
      </c>
      <c r="O40">
        <v>1.836</v>
      </c>
      <c r="P40">
        <f t="shared" si="5"/>
        <v>0.26387267686522364</v>
      </c>
      <c r="AB40">
        <v>2.5363</v>
      </c>
      <c r="AC40">
        <v>42.189</v>
      </c>
    </row>
    <row r="41" spans="1:29" ht="12.75">
      <c r="A41">
        <v>26</v>
      </c>
      <c r="B41">
        <v>53.321</v>
      </c>
      <c r="C41">
        <v>0.18407</v>
      </c>
      <c r="D41">
        <f t="shared" si="0"/>
        <v>0.82</v>
      </c>
      <c r="E41">
        <f t="shared" si="1"/>
        <v>0.9153649821073429</v>
      </c>
      <c r="F41">
        <v>3.4125</v>
      </c>
      <c r="G41">
        <f t="shared" si="2"/>
        <v>0.5330726600488125</v>
      </c>
      <c r="I41">
        <v>53.0447</v>
      </c>
      <c r="J41">
        <v>1.148</v>
      </c>
      <c r="L41">
        <f t="shared" si="3"/>
        <v>0.82</v>
      </c>
      <c r="N41">
        <f t="shared" si="4"/>
        <v>0.9153649821073429</v>
      </c>
      <c r="O41">
        <v>2.1152</v>
      </c>
      <c r="P41">
        <f t="shared" si="5"/>
        <v>0.32535143780554626</v>
      </c>
      <c r="AB41">
        <v>2.5723</v>
      </c>
      <c r="AC41">
        <v>59.6038</v>
      </c>
    </row>
    <row r="42" spans="1:29" ht="12.75">
      <c r="A42">
        <v>27</v>
      </c>
      <c r="B42">
        <v>53.642</v>
      </c>
      <c r="C42">
        <v>3.4125</v>
      </c>
      <c r="D42">
        <f t="shared" si="0"/>
        <v>0.852</v>
      </c>
      <c r="E42">
        <f t="shared" si="1"/>
        <v>1.0450497979832858</v>
      </c>
      <c r="F42">
        <v>3.6692</v>
      </c>
      <c r="G42">
        <f t="shared" si="2"/>
        <v>0.5645713848355592</v>
      </c>
      <c r="I42">
        <v>53.4774</v>
      </c>
      <c r="J42">
        <v>1.4225</v>
      </c>
      <c r="L42">
        <f t="shared" si="3"/>
        <v>0.852</v>
      </c>
      <c r="N42">
        <f t="shared" si="4"/>
        <v>1.0450497979832858</v>
      </c>
      <c r="O42">
        <v>2.1688</v>
      </c>
      <c r="P42">
        <f t="shared" si="5"/>
        <v>0.33621950457242916</v>
      </c>
      <c r="AB42">
        <v>3.766</v>
      </c>
      <c r="AC42">
        <v>40.2927</v>
      </c>
    </row>
    <row r="43" spans="1:16" ht="12.75">
      <c r="A43">
        <v>28</v>
      </c>
      <c r="B43">
        <v>56.877</v>
      </c>
      <c r="C43">
        <v>3.3709</v>
      </c>
      <c r="D43">
        <f t="shared" si="0"/>
        <v>0.884</v>
      </c>
      <c r="E43">
        <f t="shared" si="1"/>
        <v>1.195223093192288</v>
      </c>
      <c r="F43">
        <v>4.1327</v>
      </c>
      <c r="G43">
        <f t="shared" si="2"/>
        <v>0.6162338802216096</v>
      </c>
      <c r="I43">
        <v>56.6141</v>
      </c>
      <c r="J43">
        <v>0.9041</v>
      </c>
      <c r="L43">
        <f t="shared" si="3"/>
        <v>0.884</v>
      </c>
      <c r="N43">
        <f t="shared" si="4"/>
        <v>1.195223093192288</v>
      </c>
      <c r="O43">
        <v>2.9783</v>
      </c>
      <c r="P43">
        <f t="shared" si="5"/>
        <v>0.4739684414962343</v>
      </c>
    </row>
    <row r="44" spans="1:16" ht="12.75">
      <c r="A44">
        <v>29</v>
      </c>
      <c r="B44">
        <v>60.628</v>
      </c>
      <c r="C44">
        <v>3.6692</v>
      </c>
      <c r="D44">
        <f t="shared" si="0"/>
        <v>0.916</v>
      </c>
      <c r="E44">
        <f t="shared" si="1"/>
        <v>1.3786590913461043</v>
      </c>
      <c r="F44">
        <v>4.5578</v>
      </c>
      <c r="G44">
        <f t="shared" si="2"/>
        <v>0.6587552640646129</v>
      </c>
      <c r="I44">
        <v>60.4008</v>
      </c>
      <c r="J44">
        <v>1.8115</v>
      </c>
      <c r="L44">
        <f t="shared" si="3"/>
        <v>0.916</v>
      </c>
      <c r="N44">
        <f t="shared" si="4"/>
        <v>1.3786590913461043</v>
      </c>
      <c r="O44">
        <v>2.9783</v>
      </c>
      <c r="P44">
        <f t="shared" si="5"/>
        <v>0.4739684414962343</v>
      </c>
    </row>
    <row r="45" spans="1:16" ht="12.75">
      <c r="A45">
        <v>30</v>
      </c>
      <c r="B45">
        <v>68.305</v>
      </c>
      <c r="C45">
        <v>1.6748</v>
      </c>
      <c r="D45">
        <f t="shared" si="0"/>
        <v>0.948</v>
      </c>
      <c r="E45">
        <f t="shared" si="1"/>
        <v>1.6257632924497023</v>
      </c>
      <c r="F45">
        <v>4.9348</v>
      </c>
      <c r="G45">
        <f t="shared" si="2"/>
        <v>0.6932695560620918</v>
      </c>
      <c r="I45">
        <v>67.5636</v>
      </c>
      <c r="J45">
        <v>1.6723</v>
      </c>
      <c r="L45">
        <f t="shared" si="3"/>
        <v>0.948</v>
      </c>
      <c r="N45">
        <f t="shared" si="4"/>
        <v>1.6257632924497023</v>
      </c>
      <c r="O45">
        <v>3.7877</v>
      </c>
      <c r="P45">
        <f t="shared" si="5"/>
        <v>0.5783755739468386</v>
      </c>
    </row>
    <row r="46" spans="1:16" ht="12.75">
      <c r="A46">
        <v>31</v>
      </c>
      <c r="B46">
        <v>70.918</v>
      </c>
      <c r="C46">
        <v>2.8648</v>
      </c>
      <c r="D46">
        <f t="shared" si="0"/>
        <v>0.98</v>
      </c>
      <c r="E46">
        <f t="shared" si="1"/>
        <v>2.0537475189510417</v>
      </c>
      <c r="F46">
        <v>5.0127</v>
      </c>
      <c r="G46">
        <f t="shared" si="2"/>
        <v>0.7000717137406738</v>
      </c>
      <c r="I46">
        <v>70.5529</v>
      </c>
      <c r="J46">
        <v>1.0166</v>
      </c>
      <c r="L46">
        <f t="shared" si="3"/>
        <v>0.98</v>
      </c>
      <c r="N46">
        <f t="shared" si="4"/>
        <v>2.0537475189510417</v>
      </c>
      <c r="O46">
        <v>4.8256</v>
      </c>
      <c r="P46">
        <f t="shared" si="5"/>
        <v>0.6835513198536612</v>
      </c>
    </row>
    <row r="47" ht="12.75">
      <c r="A47">
        <v>32</v>
      </c>
    </row>
    <row r="48" ht="28.5" customHeight="1"/>
    <row r="49" spans="1:29" ht="28.5" customHeight="1">
      <c r="A49" t="s">
        <v>134</v>
      </c>
      <c r="B49">
        <f aca="true" t="shared" si="9" ref="B49:G49">AVERAGE(B16:B46)</f>
        <v>36.92332419354839</v>
      </c>
      <c r="C49">
        <f t="shared" si="9"/>
        <v>2.1405490322580643</v>
      </c>
      <c r="D49">
        <f t="shared" si="9"/>
        <v>0.5000000000000001</v>
      </c>
      <c r="E49">
        <f t="shared" si="9"/>
        <v>1.7649566396196478E-11</v>
      </c>
      <c r="F49">
        <f t="shared" si="9"/>
        <v>2.1405490322580647</v>
      </c>
      <c r="G49">
        <f t="shared" si="9"/>
        <v>0.20202610350550962</v>
      </c>
      <c r="I49">
        <f aca="true" t="shared" si="10" ref="I49:AC49">AVERAGE(I16:I46)</f>
        <v>36.941519354838704</v>
      </c>
      <c r="J49">
        <f t="shared" si="10"/>
        <v>1.3294161290322581</v>
      </c>
      <c r="L49">
        <f t="shared" si="10"/>
        <v>0.5000000000000001</v>
      </c>
      <c r="N49">
        <f t="shared" si="10"/>
        <v>1.7649566396196478E-11</v>
      </c>
      <c r="O49">
        <f t="shared" si="10"/>
        <v>1.3294161290322581</v>
      </c>
      <c r="P49">
        <f t="shared" si="10"/>
        <v>-0.0007711456448047704</v>
      </c>
      <c r="S49">
        <f t="shared" si="10"/>
        <v>32.797900000000006</v>
      </c>
      <c r="T49">
        <f t="shared" si="10"/>
        <v>11.781209999999998</v>
      </c>
      <c r="U49">
        <f t="shared" si="10"/>
        <v>0.5</v>
      </c>
      <c r="V49">
        <f t="shared" si="10"/>
        <v>-1.7763568394002506E-16</v>
      </c>
      <c r="W49">
        <f t="shared" si="10"/>
        <v>11.781209999999998</v>
      </c>
      <c r="X49">
        <f t="shared" si="10"/>
        <v>1.0420410087417487</v>
      </c>
      <c r="AB49">
        <f t="shared" si="10"/>
        <v>1.556485185185185</v>
      </c>
      <c r="AC49">
        <f t="shared" si="10"/>
        <v>51.315011111111126</v>
      </c>
    </row>
    <row r="50" spans="1:29" ht="28.5" customHeight="1">
      <c r="A50" t="s">
        <v>135</v>
      </c>
      <c r="B50">
        <f aca="true" t="shared" si="11" ref="B50:G50">STDEV(B16:B46)</f>
        <v>18.72488084003415</v>
      </c>
      <c r="C50">
        <f t="shared" si="11"/>
        <v>1.38465428721</v>
      </c>
      <c r="D50">
        <f t="shared" si="11"/>
        <v>0.2909478762023647</v>
      </c>
      <c r="E50">
        <f t="shared" si="11"/>
        <v>0.9734441933601707</v>
      </c>
      <c r="F50">
        <f t="shared" si="11"/>
        <v>1.3846542872099994</v>
      </c>
      <c r="G50">
        <f t="shared" si="11"/>
        <v>0.39499621544410024</v>
      </c>
      <c r="I50">
        <f aca="true" t="shared" si="12" ref="I50:AC50">STDEV(I16:I46)</f>
        <v>18.283729424535164</v>
      </c>
      <c r="J50">
        <f t="shared" si="12"/>
        <v>1.087201024986264</v>
      </c>
      <c r="L50">
        <f t="shared" si="12"/>
        <v>0.2909478762023647</v>
      </c>
      <c r="N50">
        <f t="shared" si="12"/>
        <v>0.9734441933601707</v>
      </c>
      <c r="O50">
        <f t="shared" si="12"/>
        <v>1.087201024986264</v>
      </c>
      <c r="P50">
        <f t="shared" si="12"/>
        <v>0.33690438127179745</v>
      </c>
      <c r="S50">
        <f t="shared" si="12"/>
        <v>17.55492445776667</v>
      </c>
      <c r="T50">
        <f t="shared" si="12"/>
        <v>4.45931957635975</v>
      </c>
      <c r="U50">
        <f t="shared" si="12"/>
        <v>0.292152088054302</v>
      </c>
      <c r="V50">
        <f t="shared" si="12"/>
        <v>0.9633702356764485</v>
      </c>
      <c r="W50">
        <f t="shared" si="12"/>
        <v>4.459319576359759</v>
      </c>
      <c r="X50">
        <f t="shared" si="12"/>
        <v>0.16609720980800327</v>
      </c>
      <c r="AB50">
        <f t="shared" si="12"/>
        <v>0.7216809430892811</v>
      </c>
      <c r="AC50">
        <f t="shared" si="12"/>
        <v>15.964651618312867</v>
      </c>
    </row>
    <row r="51" spans="1:29" ht="28.5" customHeight="1">
      <c r="A51" t="s">
        <v>136</v>
      </c>
      <c r="B51">
        <f aca="true" t="shared" si="13" ref="B51:G51">COUNT(B16:B46)</f>
        <v>31</v>
      </c>
      <c r="C51">
        <f t="shared" si="13"/>
        <v>31</v>
      </c>
      <c r="D51">
        <f t="shared" si="13"/>
        <v>31</v>
      </c>
      <c r="E51">
        <f t="shared" si="13"/>
        <v>31</v>
      </c>
      <c r="F51">
        <f t="shared" si="13"/>
        <v>31</v>
      </c>
      <c r="G51">
        <f t="shared" si="13"/>
        <v>31</v>
      </c>
      <c r="I51">
        <f aca="true" t="shared" si="14" ref="I51:AC51">COUNT(I16:I46)</f>
        <v>31</v>
      </c>
      <c r="J51">
        <f t="shared" si="14"/>
        <v>31</v>
      </c>
      <c r="L51">
        <f t="shared" si="14"/>
        <v>31</v>
      </c>
      <c r="N51">
        <f t="shared" si="14"/>
        <v>31</v>
      </c>
      <c r="O51">
        <f t="shared" si="14"/>
        <v>31</v>
      </c>
      <c r="P51">
        <f t="shared" si="14"/>
        <v>31</v>
      </c>
      <c r="S51">
        <f t="shared" si="14"/>
        <v>20</v>
      </c>
      <c r="T51">
        <f t="shared" si="14"/>
        <v>20</v>
      </c>
      <c r="U51">
        <f t="shared" si="14"/>
        <v>20</v>
      </c>
      <c r="V51">
        <f t="shared" si="14"/>
        <v>20</v>
      </c>
      <c r="W51">
        <f t="shared" si="14"/>
        <v>20</v>
      </c>
      <c r="X51">
        <f t="shared" si="14"/>
        <v>20</v>
      </c>
      <c r="AB51">
        <f t="shared" si="14"/>
        <v>27</v>
      </c>
      <c r="AC51">
        <f t="shared" si="14"/>
        <v>27</v>
      </c>
    </row>
    <row r="52" spans="1:29" ht="12.75">
      <c r="A52" t="s">
        <v>137</v>
      </c>
      <c r="B52">
        <f>B50/(B51^0.5)</f>
        <v>3.3630878786897043</v>
      </c>
      <c r="C52">
        <f>C50/(C51^0.5)</f>
        <v>0.24869125145702078</v>
      </c>
      <c r="I52">
        <f>I50/(I51^0.5)</f>
        <v>3.2838547454694695</v>
      </c>
      <c r="J52">
        <f>J50/(J51^0.5)</f>
        <v>0.1952670684564772</v>
      </c>
      <c r="L52">
        <f>L50/(L51^0.5)</f>
        <v>0.052255781179374426</v>
      </c>
      <c r="N52">
        <f aca="true" t="shared" si="15" ref="N52:U52">N50/(N51^0.5)</f>
        <v>0.17483573835466373</v>
      </c>
      <c r="O52">
        <f t="shared" si="15"/>
        <v>0.1952670684564772</v>
      </c>
      <c r="P52">
        <f t="shared" si="15"/>
        <v>0.06050981315246491</v>
      </c>
      <c r="S52">
        <f t="shared" si="15"/>
        <v>3.925400442743991</v>
      </c>
      <c r="T52">
        <f t="shared" si="15"/>
        <v>0.9971341706135964</v>
      </c>
      <c r="U52">
        <f t="shared" si="15"/>
        <v>0.06532719286579235</v>
      </c>
      <c r="AB52">
        <f>AB50/(AB51^0.5)</f>
        <v>0.13888756225387314</v>
      </c>
      <c r="AC52">
        <f>AC50/(AC51^0.5)</f>
        <v>3.0723986364505094</v>
      </c>
    </row>
    <row r="53" spans="1:29" ht="12.75">
      <c r="A53" t="s">
        <v>138</v>
      </c>
      <c r="B53">
        <f>B50/B49</f>
        <v>0.5071287932224138</v>
      </c>
      <c r="C53">
        <f>C50/C49</f>
        <v>0.6468687548583406</v>
      </c>
      <c r="I53">
        <f aca="true" t="shared" si="16" ref="I53:AC53">I50/I49</f>
        <v>0.4949371261347514</v>
      </c>
      <c r="J53">
        <f t="shared" si="16"/>
        <v>0.8178033959748078</v>
      </c>
      <c r="L53">
        <f t="shared" si="16"/>
        <v>0.5818957524047292</v>
      </c>
      <c r="N53">
        <f t="shared" si="16"/>
        <v>55154000472.77933</v>
      </c>
      <c r="O53">
        <f t="shared" si="16"/>
        <v>0.8178033959748078</v>
      </c>
      <c r="S53">
        <f t="shared" si="16"/>
        <v>0.5352453802763795</v>
      </c>
      <c r="T53">
        <f t="shared" si="16"/>
        <v>0.37851116959631065</v>
      </c>
      <c r="U53">
        <f t="shared" si="16"/>
        <v>0.584304176108604</v>
      </c>
      <c r="AB53">
        <f t="shared" si="16"/>
        <v>0.46366065668875484</v>
      </c>
      <c r="AC53">
        <f t="shared" si="16"/>
        <v>0.3111107504925801</v>
      </c>
    </row>
  </sheetData>
  <hyperlinks>
    <hyperlink ref="AB15" r:id="rId1" display="EE@ 2-hydroxylation (pmol/min/mg protein) "/>
  </hyperlinks>
  <printOptions/>
  <pageMargins left="0.75" right="0.75" top="1" bottom="1" header="0.5" footer="0.5"/>
  <pageSetup orientation="portrait" paperSize="9"/>
  <drawing r:id="rId2"/>
</worksheet>
</file>

<file path=xl/worksheets/sheet22.xml><?xml version="1.0" encoding="utf-8"?>
<worksheet xmlns="http://schemas.openxmlformats.org/spreadsheetml/2006/main" xmlns:r="http://schemas.openxmlformats.org/officeDocument/2006/relationships">
  <dimension ref="A1:Q8"/>
  <sheetViews>
    <sheetView workbookViewId="0" topLeftCell="A1">
      <selection activeCell="B33" sqref="B33"/>
    </sheetView>
  </sheetViews>
  <sheetFormatPr defaultColWidth="9.140625" defaultRowHeight="12.75"/>
  <cols>
    <col min="1" max="4" width="8.8515625" style="0" customWidth="1"/>
    <col min="5" max="5" width="15.7109375" style="0" customWidth="1"/>
    <col min="6" max="6" width="16.421875" style="0" customWidth="1"/>
    <col min="7" max="7" width="14.421875" style="0" customWidth="1"/>
    <col min="8" max="10" width="8.8515625" style="0" customWidth="1"/>
    <col min="11" max="11" width="15.00390625" style="0" customWidth="1"/>
    <col min="12" max="12" width="13.28125" style="0" customWidth="1"/>
    <col min="13" max="13" width="15.421875" style="0" customWidth="1"/>
    <col min="14" max="14" width="16.00390625" style="0" customWidth="1"/>
    <col min="15" max="16384" width="8.8515625" style="0" customWidth="1"/>
  </cols>
  <sheetData>
    <row r="1" spans="1:17" ht="63.75">
      <c r="A1" s="7" t="s">
        <v>69</v>
      </c>
      <c r="B1" s="7" t="s">
        <v>57</v>
      </c>
      <c r="C1" s="7" t="s">
        <v>58</v>
      </c>
      <c r="D1" s="7" t="s">
        <v>59</v>
      </c>
      <c r="E1" s="7" t="s">
        <v>60</v>
      </c>
      <c r="F1" s="7" t="s">
        <v>92</v>
      </c>
      <c r="G1" s="7" t="s">
        <v>61</v>
      </c>
      <c r="H1" s="7" t="s">
        <v>62</v>
      </c>
      <c r="I1" s="7" t="s">
        <v>63</v>
      </c>
      <c r="J1" s="8" t="s">
        <v>64</v>
      </c>
      <c r="K1" s="8" t="s">
        <v>138</v>
      </c>
      <c r="L1" s="7" t="s">
        <v>1126</v>
      </c>
      <c r="M1" s="7" t="s">
        <v>1127</v>
      </c>
      <c r="N1" s="7" t="s">
        <v>66</v>
      </c>
      <c r="O1" s="7" t="s">
        <v>85</v>
      </c>
      <c r="P1" s="7" t="s">
        <v>67</v>
      </c>
      <c r="Q1" s="7" t="s">
        <v>68</v>
      </c>
    </row>
    <row r="2" ht="12.75">
      <c r="B2" t="s">
        <v>1060</v>
      </c>
    </row>
    <row r="7" ht="12.75">
      <c r="D7" t="s">
        <v>566</v>
      </c>
    </row>
    <row r="8" ht="12.75">
      <c r="D8" t="s">
        <v>1059</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Q19"/>
  <sheetViews>
    <sheetView workbookViewId="0" topLeftCell="C1">
      <selection activeCell="H9" sqref="H9:I9"/>
    </sheetView>
  </sheetViews>
  <sheetFormatPr defaultColWidth="9.140625" defaultRowHeight="12.75"/>
  <cols>
    <col min="1" max="1" width="8.8515625" style="0" customWidth="1"/>
    <col min="2" max="2" width="19.7109375" style="0" customWidth="1"/>
    <col min="3" max="4" width="8.8515625" style="0" customWidth="1"/>
    <col min="5" max="5" width="52.00390625" style="0" customWidth="1"/>
    <col min="6" max="6" width="20.140625" style="0" customWidth="1"/>
    <col min="7" max="9" width="8.8515625" style="0" customWidth="1"/>
    <col min="10" max="10" width="12.00390625" style="0" customWidth="1"/>
    <col min="11" max="11" width="16.421875" style="0" customWidth="1"/>
    <col min="12" max="12" width="12.421875" style="0" customWidth="1"/>
    <col min="13" max="13" width="13.7109375" style="0" customWidth="1"/>
    <col min="14" max="14" width="8.8515625" style="0" customWidth="1"/>
    <col min="15" max="15" width="11.7109375" style="0" customWidth="1"/>
    <col min="16" max="16384" width="8.8515625" style="0" customWidth="1"/>
  </cols>
  <sheetData>
    <row r="1" spans="1:17" ht="63.75">
      <c r="A1" s="7" t="s">
        <v>69</v>
      </c>
      <c r="B1" s="7" t="s">
        <v>57</v>
      </c>
      <c r="C1" s="7" t="s">
        <v>58</v>
      </c>
      <c r="D1" s="7" t="s">
        <v>59</v>
      </c>
      <c r="E1" s="7" t="s">
        <v>60</v>
      </c>
      <c r="F1" s="7" t="s">
        <v>92</v>
      </c>
      <c r="G1" s="7" t="s">
        <v>61</v>
      </c>
      <c r="H1" s="7" t="s">
        <v>62</v>
      </c>
      <c r="I1" s="7" t="s">
        <v>63</v>
      </c>
      <c r="J1" s="8" t="s">
        <v>64</v>
      </c>
      <c r="K1" s="8" t="s">
        <v>138</v>
      </c>
      <c r="L1" s="7" t="s">
        <v>1126</v>
      </c>
      <c r="M1" s="7" t="s">
        <v>1127</v>
      </c>
      <c r="N1" s="7" t="s">
        <v>66</v>
      </c>
      <c r="O1" s="7" t="s">
        <v>85</v>
      </c>
      <c r="P1" s="7" t="s">
        <v>67</v>
      </c>
      <c r="Q1" s="7" t="s">
        <v>68</v>
      </c>
    </row>
    <row r="2" spans="2:16" ht="12.75">
      <c r="B2" t="s">
        <v>1061</v>
      </c>
      <c r="D2" t="s">
        <v>1023</v>
      </c>
      <c r="E2" t="s">
        <v>966</v>
      </c>
      <c r="G2" t="s">
        <v>102</v>
      </c>
      <c r="H2" t="s">
        <v>94</v>
      </c>
      <c r="I2" t="s">
        <v>1022</v>
      </c>
      <c r="J2">
        <v>0.28361484920656843</v>
      </c>
      <c r="K2" s="1">
        <v>0.4819788033199567</v>
      </c>
      <c r="L2" s="1"/>
      <c r="N2" t="s">
        <v>107</v>
      </c>
      <c r="O2">
        <v>0.9536</v>
      </c>
      <c r="P2">
        <v>5</v>
      </c>
    </row>
    <row r="8" spans="5:11" ht="12.75">
      <c r="E8" t="s">
        <v>965</v>
      </c>
      <c r="F8" t="s">
        <v>964</v>
      </c>
      <c r="G8" t="s">
        <v>101</v>
      </c>
      <c r="H8" t="s">
        <v>99</v>
      </c>
      <c r="I8" t="s">
        <v>190</v>
      </c>
      <c r="J8" t="s">
        <v>100</v>
      </c>
      <c r="K8" t="s">
        <v>1021</v>
      </c>
    </row>
    <row r="9" spans="5:11" ht="12.75">
      <c r="E9">
        <v>1</v>
      </c>
      <c r="F9">
        <v>0.5877</v>
      </c>
      <c r="G9">
        <f>LOG(F9)</f>
        <v>-0.2308443092856012</v>
      </c>
      <c r="H9">
        <f>(E9-3/8)/5.25</f>
        <v>0.11904761904761904</v>
      </c>
      <c r="I9">
        <f>NORMSINV(H9)</f>
        <v>-1.1797614123624593</v>
      </c>
      <c r="J9">
        <v>0.0949</v>
      </c>
      <c r="K9">
        <f>LOG(J9)</f>
        <v>-1.0227337875727074</v>
      </c>
    </row>
    <row r="10" spans="5:11" ht="12.75">
      <c r="E10">
        <v>2</v>
      </c>
      <c r="F10">
        <v>0.2363</v>
      </c>
      <c r="G10">
        <f aca="true" t="shared" si="0" ref="G10:G15">LOG(F10)</f>
        <v>-0.6265362783676309</v>
      </c>
      <c r="H10">
        <f>(E10-3/8)/5.25</f>
        <v>0.30952380952380953</v>
      </c>
      <c r="I10">
        <f>NORMSINV(H10)</f>
        <v>-0.49720055769908633</v>
      </c>
      <c r="J10">
        <v>0.2363</v>
      </c>
      <c r="K10">
        <f>LOG(J10)</f>
        <v>-0.6265362783676309</v>
      </c>
    </row>
    <row r="11" spans="5:11" ht="12.75">
      <c r="E11">
        <v>3</v>
      </c>
      <c r="F11">
        <v>0.4373</v>
      </c>
      <c r="G11">
        <f t="shared" si="0"/>
        <v>-0.359220522655143</v>
      </c>
      <c r="H11">
        <f>(E11-3/8)/5.25</f>
        <v>0.5</v>
      </c>
      <c r="I11">
        <f>NORMSINV(H11)</f>
        <v>5.471417352459603E-10</v>
      </c>
      <c r="J11">
        <v>0.4316</v>
      </c>
      <c r="K11">
        <f>LOG(J11)</f>
        <v>-0.364918563989127</v>
      </c>
    </row>
    <row r="12" spans="5:11" ht="12.75">
      <c r="E12">
        <v>4</v>
      </c>
      <c r="F12">
        <v>0.4316</v>
      </c>
      <c r="G12">
        <f t="shared" si="0"/>
        <v>-0.364918563989127</v>
      </c>
      <c r="H12">
        <f>(E12-3/8)/5.25</f>
        <v>0.6904761904761905</v>
      </c>
      <c r="I12">
        <f>NORMSINV(H12)</f>
        <v>0.49720055769908567</v>
      </c>
      <c r="J12">
        <v>0.4373</v>
      </c>
      <c r="K12">
        <f>LOG(J12)</f>
        <v>-0.359220522655143</v>
      </c>
    </row>
    <row r="13" spans="5:11" ht="12.75">
      <c r="E13">
        <v>5</v>
      </c>
      <c r="F13">
        <v>0.0949</v>
      </c>
      <c r="G13">
        <f t="shared" si="0"/>
        <v>-1.0227337875727074</v>
      </c>
      <c r="H13">
        <f>(E13-3/8)/5.25</f>
        <v>0.8809523809523809</v>
      </c>
      <c r="I13">
        <f>NORMSINV(H13)</f>
        <v>1.1797614123624593</v>
      </c>
      <c r="J13">
        <v>0.5877</v>
      </c>
      <c r="K13">
        <f>LOG(J13)</f>
        <v>-0.2308443092856012</v>
      </c>
    </row>
    <row r="15" spans="5:7" ht="12.75">
      <c r="E15" t="s">
        <v>134</v>
      </c>
      <c r="F15">
        <f>AVERAGE(F9:F13)</f>
        <v>0.35756</v>
      </c>
      <c r="G15">
        <f t="shared" si="0"/>
        <v>-0.4466510713943655</v>
      </c>
    </row>
    <row r="16" spans="5:7" ht="12.75">
      <c r="E16" t="s">
        <v>135</v>
      </c>
      <c r="F16">
        <f>STDEV(F9:F15)</f>
        <v>0.1723363409150837</v>
      </c>
      <c r="G16" s="1">
        <f>STDEV(G9:G15)</f>
        <v>0.28361484920656843</v>
      </c>
    </row>
    <row r="17" spans="5:7" ht="12.75">
      <c r="E17" t="s">
        <v>136</v>
      </c>
      <c r="F17">
        <f>COUNT(F9:F13)</f>
        <v>5</v>
      </c>
      <c r="G17">
        <f>COUNT(G9:G13)</f>
        <v>5</v>
      </c>
    </row>
    <row r="18" spans="5:7" ht="12.75">
      <c r="E18" t="s">
        <v>137</v>
      </c>
      <c r="F18">
        <f>(F16/F17^0.5)</f>
        <v>0.0770711546559411</v>
      </c>
      <c r="G18">
        <f>(G16/G17^0.5)</f>
        <v>0.12683641645084787</v>
      </c>
    </row>
    <row r="19" spans="5:6" ht="12.75">
      <c r="E19" t="s">
        <v>138</v>
      </c>
      <c r="F19" s="1">
        <f>F16/F15</f>
        <v>0.4819788033199567</v>
      </c>
    </row>
  </sheetData>
  <printOptions/>
  <pageMargins left="0.75" right="0.75" top="1" bottom="1" header="0.5" footer="0.5"/>
  <pageSetup orientation="portrait" paperSize="9"/>
  <drawing r:id="rId1"/>
</worksheet>
</file>

<file path=xl/worksheets/sheet24.xml><?xml version="1.0" encoding="utf-8"?>
<worksheet xmlns="http://schemas.openxmlformats.org/spreadsheetml/2006/main" xmlns:r="http://schemas.openxmlformats.org/officeDocument/2006/relationships">
  <dimension ref="A1:O45"/>
  <sheetViews>
    <sheetView workbookViewId="0" topLeftCell="D1">
      <pane xSplit="18765" topLeftCell="L4" activePane="topLeft" state="split"/>
      <selection pane="topLeft" activeCell="B2" sqref="B2"/>
      <selection pane="topRight" activeCell="L8" sqref="L8"/>
    </sheetView>
  </sheetViews>
  <sheetFormatPr defaultColWidth="9.140625" defaultRowHeight="12.75"/>
  <cols>
    <col min="1" max="4" width="8.8515625" style="0" customWidth="1"/>
    <col min="5" max="5" width="75.7109375" style="0" customWidth="1"/>
    <col min="6" max="6" width="16.140625" style="0" customWidth="1"/>
    <col min="7" max="16384" width="8.8515625" style="0" customWidth="1"/>
  </cols>
  <sheetData>
    <row r="1" spans="1:15" ht="63.75">
      <c r="A1" s="7" t="s">
        <v>69</v>
      </c>
      <c r="B1" s="7" t="s">
        <v>57</v>
      </c>
      <c r="C1" s="7" t="s">
        <v>58</v>
      </c>
      <c r="D1" s="7" t="s">
        <v>59</v>
      </c>
      <c r="E1" s="7" t="s">
        <v>60</v>
      </c>
      <c r="F1" s="7" t="s">
        <v>92</v>
      </c>
      <c r="G1" s="7" t="s">
        <v>61</v>
      </c>
      <c r="H1" s="7" t="s">
        <v>62</v>
      </c>
      <c r="I1" s="7" t="s">
        <v>63</v>
      </c>
      <c r="J1" s="8" t="s">
        <v>64</v>
      </c>
      <c r="K1" s="8" t="s">
        <v>138</v>
      </c>
      <c r="L1" s="7" t="s">
        <v>65</v>
      </c>
      <c r="M1" s="7" t="s">
        <v>66</v>
      </c>
      <c r="N1" s="7" t="s">
        <v>85</v>
      </c>
      <c r="O1" s="7" t="s">
        <v>67</v>
      </c>
    </row>
    <row r="2" spans="2:15" ht="12.75">
      <c r="B2" t="s">
        <v>1059</v>
      </c>
      <c r="D2" t="s">
        <v>751</v>
      </c>
      <c r="E2" t="s">
        <v>752</v>
      </c>
      <c r="F2" t="s">
        <v>753</v>
      </c>
      <c r="G2" t="s">
        <v>102</v>
      </c>
      <c r="H2" t="s">
        <v>987</v>
      </c>
      <c r="I2" t="s">
        <v>754</v>
      </c>
      <c r="J2">
        <v>0.18329829910120357</v>
      </c>
      <c r="K2">
        <v>0.3659478402443733</v>
      </c>
      <c r="M2" t="s">
        <v>811</v>
      </c>
      <c r="N2">
        <v>0.966</v>
      </c>
      <c r="O2">
        <v>29</v>
      </c>
    </row>
    <row r="8" ht="12.75">
      <c r="F8" t="s">
        <v>755</v>
      </c>
    </row>
    <row r="9" ht="12.75">
      <c r="F9" t="s">
        <v>756</v>
      </c>
    </row>
    <row r="10" spans="5:12" ht="12.75">
      <c r="E10" t="s">
        <v>959</v>
      </c>
      <c r="F10" t="s">
        <v>754</v>
      </c>
      <c r="G10" t="s">
        <v>101</v>
      </c>
      <c r="I10" t="s">
        <v>99</v>
      </c>
      <c r="J10" t="s">
        <v>190</v>
      </c>
      <c r="K10" t="s">
        <v>757</v>
      </c>
      <c r="L10" t="s">
        <v>758</v>
      </c>
    </row>
    <row r="11" spans="5:12" ht="12.75">
      <c r="E11">
        <v>1</v>
      </c>
      <c r="F11">
        <v>7.2142</v>
      </c>
      <c r="G11">
        <f>LOG(F11)</f>
        <v>0.8581881781393128</v>
      </c>
      <c r="I11">
        <f>(E11-3/8)/29.25</f>
        <v>0.021367521367521368</v>
      </c>
      <c r="J11">
        <f>NORMSINV(I11)</f>
        <v>-2.026288971347638</v>
      </c>
      <c r="K11">
        <v>3.2543</v>
      </c>
      <c r="L11">
        <v>0.5124575861973439</v>
      </c>
    </row>
    <row r="12" spans="5:12" ht="12.75">
      <c r="E12">
        <v>2</v>
      </c>
      <c r="F12">
        <v>4.2542</v>
      </c>
      <c r="G12">
        <f aca="true" t="shared" si="0" ref="G12:G39">LOG(F12)</f>
        <v>0.6288179032570317</v>
      </c>
      <c r="I12">
        <f aca="true" t="shared" si="1" ref="I12:I39">(E12-3/8)/29.25</f>
        <v>0.05555555555555555</v>
      </c>
      <c r="J12">
        <f aca="true" t="shared" si="2" ref="J12:J39">NORMSINV(I12)</f>
        <v>-1.5932188162983398</v>
      </c>
      <c r="K12">
        <v>3.3396</v>
      </c>
      <c r="L12">
        <v>0.5236944523816678</v>
      </c>
    </row>
    <row r="13" spans="5:12" ht="12.75">
      <c r="E13">
        <v>3</v>
      </c>
      <c r="F13">
        <v>4.8767</v>
      </c>
      <c r="G13">
        <f t="shared" si="0"/>
        <v>0.6881260399155434</v>
      </c>
      <c r="I13">
        <f t="shared" si="1"/>
        <v>0.08974358974358974</v>
      </c>
      <c r="J13">
        <f t="shared" si="2"/>
        <v>-1.3423360579410049</v>
      </c>
      <c r="K13">
        <v>3.7235</v>
      </c>
      <c r="L13">
        <v>0.5709513581793881</v>
      </c>
    </row>
    <row r="14" spans="5:12" ht="12.75">
      <c r="E14">
        <v>4</v>
      </c>
      <c r="F14">
        <v>3.2543</v>
      </c>
      <c r="G14">
        <f t="shared" si="0"/>
        <v>0.5124575861973439</v>
      </c>
      <c r="I14">
        <f t="shared" si="1"/>
        <v>0.12393162393162394</v>
      </c>
      <c r="J14">
        <f t="shared" si="2"/>
        <v>-1.1555552056532234</v>
      </c>
      <c r="K14">
        <v>4.2145</v>
      </c>
      <c r="L14">
        <v>0.6247460581727651</v>
      </c>
    </row>
    <row r="15" spans="5:12" ht="12.75">
      <c r="E15">
        <v>5</v>
      </c>
      <c r="F15">
        <v>6.7909</v>
      </c>
      <c r="G15">
        <f t="shared" si="0"/>
        <v>0.831927335271936</v>
      </c>
      <c r="I15">
        <f t="shared" si="1"/>
        <v>0.1581196581196581</v>
      </c>
      <c r="J15">
        <f t="shared" si="2"/>
        <v>-1.0022159564859154</v>
      </c>
      <c r="K15">
        <v>4.2542</v>
      </c>
      <c r="L15">
        <v>0.6288179032570317</v>
      </c>
    </row>
    <row r="16" spans="5:12" ht="12.75">
      <c r="E16">
        <v>6</v>
      </c>
      <c r="F16">
        <v>9.1332</v>
      </c>
      <c r="G16">
        <f t="shared" si="0"/>
        <v>0.960622967989018</v>
      </c>
      <c r="I16">
        <f t="shared" si="1"/>
        <v>0.19230769230769232</v>
      </c>
      <c r="J16">
        <f t="shared" si="2"/>
        <v>-0.8694236099372554</v>
      </c>
      <c r="K16">
        <v>4.8767</v>
      </c>
      <c r="L16">
        <v>0.6881260399155434</v>
      </c>
    </row>
    <row r="17" spans="5:12" ht="12.75">
      <c r="E17">
        <v>7</v>
      </c>
      <c r="F17">
        <v>4.2145</v>
      </c>
      <c r="G17">
        <f t="shared" si="0"/>
        <v>0.6247460581727651</v>
      </c>
      <c r="I17">
        <f t="shared" si="1"/>
        <v>0.2264957264957265</v>
      </c>
      <c r="J17">
        <f t="shared" si="2"/>
        <v>-0.7504369262059398</v>
      </c>
      <c r="K17">
        <v>5.3263</v>
      </c>
      <c r="L17">
        <v>0.7264256241148082</v>
      </c>
    </row>
    <row r="18" spans="5:12" ht="12.75">
      <c r="E18">
        <v>8</v>
      </c>
      <c r="F18">
        <v>10.1396</v>
      </c>
      <c r="G18">
        <f t="shared" si="0"/>
        <v>1.0060208227271754</v>
      </c>
      <c r="I18">
        <f t="shared" si="1"/>
        <v>0.2606837606837607</v>
      </c>
      <c r="J18">
        <f t="shared" si="2"/>
        <v>-0.6412386349941572</v>
      </c>
      <c r="K18">
        <v>5.9078</v>
      </c>
      <c r="L18">
        <v>0.7714257844790106</v>
      </c>
    </row>
    <row r="19" spans="5:12" ht="12.75">
      <c r="E19">
        <v>9</v>
      </c>
      <c r="F19">
        <v>10.5712</v>
      </c>
      <c r="G19">
        <f t="shared" si="0"/>
        <v>1.0241242894642426</v>
      </c>
      <c r="I19">
        <f t="shared" si="1"/>
        <v>0.2948717948717949</v>
      </c>
      <c r="J19">
        <f t="shared" si="2"/>
        <v>-0.5392075624525712</v>
      </c>
      <c r="K19">
        <v>6.7909</v>
      </c>
      <c r="L19">
        <v>0.831927335271936</v>
      </c>
    </row>
    <row r="20" spans="5:12" ht="12.75">
      <c r="E20">
        <v>10</v>
      </c>
      <c r="F20">
        <v>9.3787</v>
      </c>
      <c r="G20">
        <f t="shared" si="0"/>
        <v>0.9721426441409373</v>
      </c>
      <c r="I20">
        <f t="shared" si="1"/>
        <v>0.32905982905982906</v>
      </c>
      <c r="J20">
        <f t="shared" si="2"/>
        <v>-0.44251081161811157</v>
      </c>
      <c r="K20">
        <v>7.2142</v>
      </c>
      <c r="L20">
        <v>0.8581881781393128</v>
      </c>
    </row>
    <row r="21" spans="5:12" ht="12.75">
      <c r="E21">
        <v>11</v>
      </c>
      <c r="F21">
        <v>7.6127</v>
      </c>
      <c r="G21">
        <f t="shared" si="0"/>
        <v>0.8815387155266983</v>
      </c>
      <c r="I21">
        <f t="shared" si="1"/>
        <v>0.36324786324786323</v>
      </c>
      <c r="J21">
        <f t="shared" si="2"/>
        <v>-0.3497909332564728</v>
      </c>
      <c r="K21">
        <v>7.4462</v>
      </c>
      <c r="L21">
        <v>0.8719346969011599</v>
      </c>
    </row>
    <row r="22" spans="5:12" ht="12.75">
      <c r="E22">
        <v>12</v>
      </c>
      <c r="F22">
        <v>9.4295</v>
      </c>
      <c r="G22">
        <f t="shared" si="0"/>
        <v>0.9744886648478295</v>
      </c>
      <c r="I22">
        <f t="shared" si="1"/>
        <v>0.3974358974358974</v>
      </c>
      <c r="J22">
        <f t="shared" si="2"/>
        <v>-0.2599897460466588</v>
      </c>
      <c r="K22">
        <v>7.4728</v>
      </c>
      <c r="L22">
        <v>0.8734833590715437</v>
      </c>
    </row>
    <row r="23" spans="5:12" ht="12.75">
      <c r="E23">
        <v>13</v>
      </c>
      <c r="F23">
        <v>7.4728</v>
      </c>
      <c r="G23">
        <f t="shared" si="0"/>
        <v>0.8734833590715437</v>
      </c>
      <c r="I23">
        <f t="shared" si="1"/>
        <v>0.43162393162393164</v>
      </c>
      <c r="J23">
        <f t="shared" si="2"/>
        <v>-0.17224125837172038</v>
      </c>
      <c r="K23">
        <v>7.6127</v>
      </c>
      <c r="L23">
        <v>0.8815387155266983</v>
      </c>
    </row>
    <row r="24" spans="5:12" ht="12.75">
      <c r="E24">
        <v>14</v>
      </c>
      <c r="F24">
        <v>10.3883</v>
      </c>
      <c r="G24">
        <f t="shared" si="0"/>
        <v>1.016544482973368</v>
      </c>
      <c r="I24">
        <f t="shared" si="1"/>
        <v>0.4658119658119658</v>
      </c>
      <c r="J24">
        <f t="shared" si="2"/>
        <v>-0.08580169037041321</v>
      </c>
      <c r="K24">
        <v>7.672</v>
      </c>
      <c r="L24">
        <v>0.8849085941626071</v>
      </c>
    </row>
    <row r="25" spans="5:12" ht="12.75">
      <c r="E25">
        <v>15</v>
      </c>
      <c r="F25">
        <v>5.3263</v>
      </c>
      <c r="G25">
        <f t="shared" si="0"/>
        <v>0.7264256241148082</v>
      </c>
      <c r="I25">
        <f t="shared" si="1"/>
        <v>0.5</v>
      </c>
      <c r="J25">
        <f t="shared" si="2"/>
        <v>5.471417352459603E-10</v>
      </c>
      <c r="K25">
        <v>7.9603</v>
      </c>
      <c r="L25">
        <v>0.9009294353117205</v>
      </c>
    </row>
    <row r="26" spans="5:12" ht="12.75">
      <c r="E26">
        <v>16</v>
      </c>
      <c r="F26">
        <v>12.8755</v>
      </c>
      <c r="G26">
        <f t="shared" si="0"/>
        <v>1.1097641031908683</v>
      </c>
      <c r="I26">
        <f t="shared" si="1"/>
        <v>0.5341880341880342</v>
      </c>
      <c r="J26">
        <f t="shared" si="2"/>
        <v>0.08580169037041321</v>
      </c>
      <c r="K26">
        <v>9.1332</v>
      </c>
      <c r="L26">
        <v>0.960622967989018</v>
      </c>
    </row>
    <row r="27" spans="5:12" ht="12.75">
      <c r="E27">
        <v>17</v>
      </c>
      <c r="F27">
        <v>10.1068</v>
      </c>
      <c r="G27">
        <f t="shared" si="0"/>
        <v>1.0046136716812135</v>
      </c>
      <c r="I27">
        <f t="shared" si="1"/>
        <v>0.5683760683760684</v>
      </c>
      <c r="J27">
        <f t="shared" si="2"/>
        <v>0.17224125837171972</v>
      </c>
      <c r="K27">
        <v>9.3787</v>
      </c>
      <c r="L27">
        <v>0.9721426441409373</v>
      </c>
    </row>
    <row r="28" spans="5:12" ht="12.75">
      <c r="E28">
        <v>18</v>
      </c>
      <c r="F28">
        <v>7.672</v>
      </c>
      <c r="G28">
        <f t="shared" si="0"/>
        <v>0.8849085941626071</v>
      </c>
      <c r="I28">
        <f t="shared" si="1"/>
        <v>0.6025641025641025</v>
      </c>
      <c r="J28">
        <f t="shared" si="2"/>
        <v>0.25998974604665837</v>
      </c>
      <c r="K28">
        <v>9.4295</v>
      </c>
      <c r="L28">
        <v>0.9744886648478295</v>
      </c>
    </row>
    <row r="29" spans="5:12" ht="12.75">
      <c r="E29">
        <v>19</v>
      </c>
      <c r="F29">
        <v>7.9603</v>
      </c>
      <c r="G29">
        <f t="shared" si="0"/>
        <v>0.9009294353117205</v>
      </c>
      <c r="I29">
        <f t="shared" si="1"/>
        <v>0.6367521367521367</v>
      </c>
      <c r="J29">
        <f t="shared" si="2"/>
        <v>0.34979093325647215</v>
      </c>
      <c r="K29">
        <v>10.1068</v>
      </c>
      <c r="L29">
        <v>1.0046136716812135</v>
      </c>
    </row>
    <row r="30" spans="5:12" ht="12.75">
      <c r="E30">
        <v>20</v>
      </c>
      <c r="F30">
        <v>5.9078</v>
      </c>
      <c r="G30">
        <f t="shared" si="0"/>
        <v>0.7714257844790106</v>
      </c>
      <c r="I30">
        <f t="shared" si="1"/>
        <v>0.6709401709401709</v>
      </c>
      <c r="J30">
        <f t="shared" si="2"/>
        <v>0.44251081161811145</v>
      </c>
      <c r="K30">
        <v>10.1396</v>
      </c>
      <c r="L30">
        <v>1.0060208227271754</v>
      </c>
    </row>
    <row r="31" spans="5:12" ht="12.75">
      <c r="E31">
        <v>21</v>
      </c>
      <c r="F31">
        <v>11.1642</v>
      </c>
      <c r="G31">
        <f t="shared" si="0"/>
        <v>1.0478276080135087</v>
      </c>
      <c r="I31">
        <f t="shared" si="1"/>
        <v>0.7051282051282052</v>
      </c>
      <c r="J31">
        <f t="shared" si="2"/>
        <v>0.5392075624525712</v>
      </c>
      <c r="K31">
        <v>10.3883</v>
      </c>
      <c r="L31">
        <v>1.016544482973368</v>
      </c>
    </row>
    <row r="32" spans="5:12" ht="12.75">
      <c r="E32">
        <v>22</v>
      </c>
      <c r="F32">
        <v>11.8346</v>
      </c>
      <c r="G32">
        <f t="shared" si="0"/>
        <v>1.0731535837075612</v>
      </c>
      <c r="I32">
        <f t="shared" si="1"/>
        <v>0.7393162393162394</v>
      </c>
      <c r="J32">
        <f t="shared" si="2"/>
        <v>0.6412386349941572</v>
      </c>
      <c r="K32">
        <v>10.5712</v>
      </c>
      <c r="L32">
        <v>1.0241242894642426</v>
      </c>
    </row>
    <row r="33" spans="5:12" ht="12.75">
      <c r="E33">
        <v>23</v>
      </c>
      <c r="F33">
        <v>13.0781</v>
      </c>
      <c r="G33">
        <f t="shared" si="0"/>
        <v>1.1165446538160213</v>
      </c>
      <c r="I33">
        <f t="shared" si="1"/>
        <v>0.7735042735042735</v>
      </c>
      <c r="J33">
        <f t="shared" si="2"/>
        <v>0.7504369262059398</v>
      </c>
      <c r="K33">
        <v>11.1642</v>
      </c>
      <c r="L33">
        <v>1.0478276080135087</v>
      </c>
    </row>
    <row r="34" spans="5:12" ht="12.75">
      <c r="E34">
        <v>24</v>
      </c>
      <c r="F34">
        <v>11.1691</v>
      </c>
      <c r="G34">
        <f t="shared" si="0"/>
        <v>1.0480181793124634</v>
      </c>
      <c r="I34">
        <f t="shared" si="1"/>
        <v>0.8076923076923077</v>
      </c>
      <c r="J34">
        <f t="shared" si="2"/>
        <v>0.8694236099372554</v>
      </c>
      <c r="K34">
        <v>11.1691</v>
      </c>
      <c r="L34">
        <v>1.0480181793124634</v>
      </c>
    </row>
    <row r="35" spans="5:12" ht="12.75">
      <c r="E35">
        <v>25</v>
      </c>
      <c r="F35">
        <v>12.747</v>
      </c>
      <c r="G35">
        <f t="shared" si="0"/>
        <v>1.1054079858091768</v>
      </c>
      <c r="I35">
        <f t="shared" si="1"/>
        <v>0.8418803418803419</v>
      </c>
      <c r="J35">
        <f t="shared" si="2"/>
        <v>1.002215956485915</v>
      </c>
      <c r="K35">
        <v>11.4638</v>
      </c>
      <c r="L35">
        <v>1.059328600657427</v>
      </c>
    </row>
    <row r="36" spans="5:12" ht="12.75">
      <c r="E36">
        <v>26</v>
      </c>
      <c r="F36">
        <v>7.4462</v>
      </c>
      <c r="G36">
        <f t="shared" si="0"/>
        <v>0.8719346969011599</v>
      </c>
      <c r="I36">
        <f t="shared" si="1"/>
        <v>0.8760683760683761</v>
      </c>
      <c r="J36">
        <f t="shared" si="2"/>
        <v>1.1555552056532226</v>
      </c>
      <c r="K36">
        <v>11.8346</v>
      </c>
      <c r="L36">
        <v>1.0731535837075612</v>
      </c>
    </row>
    <row r="37" spans="5:12" ht="12.75">
      <c r="E37">
        <v>27</v>
      </c>
      <c r="F37">
        <v>3.3396</v>
      </c>
      <c r="G37">
        <f t="shared" si="0"/>
        <v>0.5236944523816678</v>
      </c>
      <c r="I37">
        <f t="shared" si="1"/>
        <v>0.9102564102564102</v>
      </c>
      <c r="J37">
        <f t="shared" si="2"/>
        <v>1.3423360579410044</v>
      </c>
      <c r="K37">
        <v>12.747</v>
      </c>
      <c r="L37">
        <v>1.1054079858091768</v>
      </c>
    </row>
    <row r="38" spans="5:12" ht="12.75">
      <c r="E38">
        <v>28</v>
      </c>
      <c r="F38">
        <v>3.7235</v>
      </c>
      <c r="G38">
        <f t="shared" si="0"/>
        <v>0.5709513581793881</v>
      </c>
      <c r="I38">
        <f t="shared" si="1"/>
        <v>0.9444444444444444</v>
      </c>
      <c r="J38">
        <f t="shared" si="2"/>
        <v>1.5932188162983385</v>
      </c>
      <c r="K38">
        <v>12.8755</v>
      </c>
      <c r="L38">
        <v>1.1097641031908683</v>
      </c>
    </row>
    <row r="39" spans="5:12" ht="12.75">
      <c r="E39">
        <v>29</v>
      </c>
      <c r="F39">
        <v>11.4638</v>
      </c>
      <c r="G39">
        <f t="shared" si="0"/>
        <v>1.059328600657427</v>
      </c>
      <c r="I39">
        <f t="shared" si="1"/>
        <v>0.9786324786324786</v>
      </c>
      <c r="J39">
        <f t="shared" si="2"/>
        <v>2.026288971347636</v>
      </c>
      <c r="K39">
        <v>13.0781</v>
      </c>
      <c r="L39">
        <v>1.1165446538160213</v>
      </c>
    </row>
    <row r="41" spans="5:7" ht="12.75">
      <c r="E41" t="s">
        <v>134</v>
      </c>
      <c r="F41">
        <f>AVERAGE(F11:F39)</f>
        <v>8.294675862068967</v>
      </c>
      <c r="G41">
        <f>AVERAGE(G11:G39)</f>
        <v>0.8851088751521844</v>
      </c>
    </row>
    <row r="42" spans="5:7" ht="12.75">
      <c r="E42" t="s">
        <v>135</v>
      </c>
      <c r="F42">
        <f>STDEV(F11:F39)</f>
        <v>3.035418717251274</v>
      </c>
      <c r="G42" s="1">
        <f>STDEV(G11:G39)</f>
        <v>0.18329829910120357</v>
      </c>
    </row>
    <row r="43" spans="5:7" ht="12.75">
      <c r="E43" t="s">
        <v>136</v>
      </c>
      <c r="F43">
        <f>COUNT(F11:F39)</f>
        <v>29</v>
      </c>
      <c r="G43">
        <f>COUNT(G11:G39)</f>
        <v>29</v>
      </c>
    </row>
    <row r="44" spans="5:7" ht="12.75">
      <c r="E44" t="s">
        <v>137</v>
      </c>
      <c r="F44">
        <f>(F42/F43^0.5)</f>
        <v>0.5636631052089283</v>
      </c>
      <c r="G44">
        <f>(G42/G43^0.5)</f>
        <v>0.0340376396388764</v>
      </c>
    </row>
    <row r="45" spans="5:6" ht="12.75">
      <c r="E45" t="s">
        <v>138</v>
      </c>
      <c r="F45" s="1">
        <f>F42/F41</f>
        <v>0.3659478402443733</v>
      </c>
    </row>
  </sheetData>
  <printOptions/>
  <pageMargins left="0.75" right="0.75" top="1" bottom="1" header="0.5" footer="0.5"/>
  <pageSetup orientation="portrait"/>
  <drawing r:id="rId1"/>
</worksheet>
</file>

<file path=xl/worksheets/sheet25.xml><?xml version="1.0" encoding="utf-8"?>
<worksheet xmlns="http://schemas.openxmlformats.org/spreadsheetml/2006/main" xmlns:r="http://schemas.openxmlformats.org/officeDocument/2006/relationships">
  <dimension ref="A1:U82"/>
  <sheetViews>
    <sheetView zoomScale="115" zoomScaleNormal="115" workbookViewId="0" topLeftCell="F1">
      <selection activeCell="K21" sqref="K21"/>
    </sheetView>
  </sheetViews>
  <sheetFormatPr defaultColWidth="9.140625" defaultRowHeight="12.75"/>
  <cols>
    <col min="1" max="3" width="8.8515625" style="0" customWidth="1"/>
    <col min="4" max="4" width="72.140625" style="0" bestFit="1" customWidth="1"/>
    <col min="5" max="5" width="14.28125" style="0" customWidth="1"/>
    <col min="6" max="6" width="13.421875" style="0" customWidth="1"/>
    <col min="7" max="10" width="8.8515625" style="0" customWidth="1"/>
    <col min="11" max="11" width="37.8515625" style="0" customWidth="1"/>
    <col min="12" max="12" width="10.00390625" style="0" bestFit="1" customWidth="1"/>
    <col min="13" max="13" width="18.7109375" style="0" customWidth="1"/>
    <col min="14" max="14" width="27.00390625" style="0" customWidth="1"/>
    <col min="15" max="16384" width="8.8515625" style="0" customWidth="1"/>
  </cols>
  <sheetData>
    <row r="1" spans="1:17" ht="63.75">
      <c r="A1" s="7" t="s">
        <v>69</v>
      </c>
      <c r="B1" s="7" t="s">
        <v>57</v>
      </c>
      <c r="C1" s="7" t="s">
        <v>58</v>
      </c>
      <c r="D1" s="7" t="s">
        <v>59</v>
      </c>
      <c r="E1" s="7" t="s">
        <v>60</v>
      </c>
      <c r="F1" s="7" t="s">
        <v>92</v>
      </c>
      <c r="G1" s="7" t="s">
        <v>61</v>
      </c>
      <c r="H1" s="7" t="s">
        <v>62</v>
      </c>
      <c r="I1" s="7" t="s">
        <v>63</v>
      </c>
      <c r="J1" s="8" t="s">
        <v>64</v>
      </c>
      <c r="K1" s="8" t="s">
        <v>138</v>
      </c>
      <c r="L1" s="7" t="s">
        <v>1126</v>
      </c>
      <c r="M1" s="7" t="s">
        <v>1127</v>
      </c>
      <c r="N1" s="7" t="s">
        <v>66</v>
      </c>
      <c r="O1" s="7" t="s">
        <v>85</v>
      </c>
      <c r="P1" s="7" t="s">
        <v>67</v>
      </c>
      <c r="Q1" s="7" t="s">
        <v>68</v>
      </c>
    </row>
    <row r="2" spans="2:17" ht="12.75">
      <c r="B2" t="s">
        <v>1111</v>
      </c>
      <c r="E2" t="s">
        <v>896</v>
      </c>
      <c r="F2" t="s">
        <v>895</v>
      </c>
      <c r="G2" t="s">
        <v>897</v>
      </c>
      <c r="H2" t="s">
        <v>103</v>
      </c>
      <c r="I2" t="s">
        <v>1047</v>
      </c>
      <c r="J2">
        <v>0.2639038932558542</v>
      </c>
      <c r="K2">
        <v>0.7018600723266927</v>
      </c>
      <c r="L2" t="s">
        <v>815</v>
      </c>
      <c r="M2" t="s">
        <v>797</v>
      </c>
      <c r="N2" t="s">
        <v>1046</v>
      </c>
      <c r="O2">
        <v>0.8992</v>
      </c>
      <c r="P2">
        <v>10</v>
      </c>
      <c r="Q2" t="s">
        <v>920</v>
      </c>
    </row>
    <row r="3" spans="2:16" ht="12.75">
      <c r="B3" t="s">
        <v>1111</v>
      </c>
      <c r="E3" t="s">
        <v>896</v>
      </c>
      <c r="F3" t="s">
        <v>895</v>
      </c>
      <c r="G3" t="s">
        <v>897</v>
      </c>
      <c r="H3" t="s">
        <v>103</v>
      </c>
      <c r="I3" t="s">
        <v>1048</v>
      </c>
      <c r="J3" s="1">
        <v>0.39511870523732506</v>
      </c>
      <c r="K3">
        <v>1.064386780087067</v>
      </c>
      <c r="L3" t="s">
        <v>815</v>
      </c>
      <c r="M3" t="s">
        <v>797</v>
      </c>
      <c r="N3" t="s">
        <v>1046</v>
      </c>
      <c r="O3">
        <v>0.8923</v>
      </c>
      <c r="P3">
        <v>10</v>
      </c>
    </row>
    <row r="4" spans="2:15" ht="12.75">
      <c r="B4" t="s">
        <v>1111</v>
      </c>
      <c r="E4" t="s">
        <v>896</v>
      </c>
      <c r="F4" t="s">
        <v>895</v>
      </c>
      <c r="G4" t="s">
        <v>897</v>
      </c>
      <c r="H4" t="s">
        <v>103</v>
      </c>
      <c r="I4" t="s">
        <v>919</v>
      </c>
      <c r="J4">
        <v>0.4956876927035427</v>
      </c>
      <c r="K4">
        <v>1.1835481681237379</v>
      </c>
      <c r="L4" t="s">
        <v>620</v>
      </c>
      <c r="M4" t="s">
        <v>797</v>
      </c>
      <c r="N4" t="s">
        <v>1046</v>
      </c>
      <c r="O4">
        <v>0.8746</v>
      </c>
    </row>
    <row r="5" spans="2:15" ht="12.75">
      <c r="B5" t="s">
        <v>1111</v>
      </c>
      <c r="E5" t="s">
        <v>896</v>
      </c>
      <c r="F5" t="s">
        <v>895</v>
      </c>
      <c r="G5" t="s">
        <v>897</v>
      </c>
      <c r="H5" t="s">
        <v>103</v>
      </c>
      <c r="I5" t="s">
        <v>921</v>
      </c>
      <c r="J5">
        <v>0.36285053971281683</v>
      </c>
      <c r="K5">
        <v>1.0050588526113153</v>
      </c>
      <c r="L5" t="s">
        <v>620</v>
      </c>
      <c r="M5" t="s">
        <v>797</v>
      </c>
      <c r="N5" t="s">
        <v>1046</v>
      </c>
      <c r="O5">
        <v>0.9358</v>
      </c>
    </row>
    <row r="8" spans="4:21" ht="12.75">
      <c r="D8" t="s">
        <v>963</v>
      </c>
      <c r="E8" t="s">
        <v>960</v>
      </c>
      <c r="F8" t="s">
        <v>1024</v>
      </c>
      <c r="H8" t="s">
        <v>99</v>
      </c>
      <c r="I8" t="s">
        <v>190</v>
      </c>
      <c r="J8" t="s">
        <v>1025</v>
      </c>
      <c r="K8" t="s">
        <v>1045</v>
      </c>
      <c r="N8" t="s">
        <v>962</v>
      </c>
      <c r="O8" t="s">
        <v>961</v>
      </c>
      <c r="P8" t="s">
        <v>188</v>
      </c>
      <c r="R8" t="s">
        <v>99</v>
      </c>
      <c r="S8" t="s">
        <v>190</v>
      </c>
      <c r="T8" t="s">
        <v>1025</v>
      </c>
      <c r="U8" t="s">
        <v>1045</v>
      </c>
    </row>
    <row r="9" spans="4:21" ht="12.75">
      <c r="D9">
        <v>1</v>
      </c>
      <c r="E9">
        <v>60.9093</v>
      </c>
      <c r="F9">
        <f>LOG(E9)</f>
        <v>1.7846836084016968</v>
      </c>
      <c r="H9">
        <f>(D9-3/8)/10.25</f>
        <v>0.06097560975609756</v>
      </c>
      <c r="I9">
        <f aca="true" t="shared" si="0" ref="I9:I18">NORMSINV(H9)</f>
        <v>-1.5466353865887528</v>
      </c>
      <c r="J9">
        <v>59.0073</v>
      </c>
      <c r="K9">
        <v>1.7709057430591317</v>
      </c>
      <c r="O9">
        <v>130.2418</v>
      </c>
      <c r="P9">
        <f>LOG(O9)</f>
        <v>2.1147503897308253</v>
      </c>
      <c r="R9">
        <v>0.06097560975609756</v>
      </c>
      <c r="S9">
        <v>-1.5466353865887528</v>
      </c>
      <c r="T9">
        <v>130.2418</v>
      </c>
      <c r="U9">
        <f>LOG(T9)</f>
        <v>2.1147503897308253</v>
      </c>
    </row>
    <row r="10" spans="4:21" ht="12.75">
      <c r="D10">
        <v>2</v>
      </c>
      <c r="E10">
        <v>59.0073</v>
      </c>
      <c r="F10">
        <f aca="true" t="shared" si="1" ref="F10:F18">LOG(E10)</f>
        <v>1.7709057430591317</v>
      </c>
      <c r="H10">
        <f aca="true" t="shared" si="2" ref="H10:H18">(D10-3/8)/10.25</f>
        <v>0.15853658536585366</v>
      </c>
      <c r="I10">
        <f t="shared" si="0"/>
        <v>-1.0004905705059994</v>
      </c>
      <c r="J10">
        <v>60.9093</v>
      </c>
      <c r="K10">
        <v>1.7846836084016968</v>
      </c>
      <c r="O10">
        <v>140.8387</v>
      </c>
      <c r="P10">
        <f aca="true" t="shared" si="3" ref="P10:P18">LOG(O10)</f>
        <v>2.1487220076972653</v>
      </c>
      <c r="R10">
        <v>0.15853658536585366</v>
      </c>
      <c r="S10">
        <v>-1.0004905705059994</v>
      </c>
      <c r="T10">
        <v>140.8387</v>
      </c>
      <c r="U10">
        <f aca="true" t="shared" si="4" ref="U10:U18">LOG(T10)</f>
        <v>2.1487220076972653</v>
      </c>
    </row>
    <row r="11" spans="4:21" ht="12.75">
      <c r="D11">
        <v>3</v>
      </c>
      <c r="E11">
        <v>100.7608</v>
      </c>
      <c r="F11">
        <f t="shared" si="1"/>
        <v>2.003291606962303</v>
      </c>
      <c r="H11">
        <f t="shared" si="2"/>
        <v>0.25609756097560976</v>
      </c>
      <c r="I11">
        <f t="shared" si="0"/>
        <v>-0.6554232932405997</v>
      </c>
      <c r="J11">
        <v>98.8135</v>
      </c>
      <c r="K11">
        <v>1.9948162823911164</v>
      </c>
      <c r="O11">
        <v>145.2314</v>
      </c>
      <c r="P11">
        <f t="shared" si="3"/>
        <v>2.162060523887744</v>
      </c>
      <c r="R11">
        <v>0.25609756097560976</v>
      </c>
      <c r="S11">
        <v>-0.6554232932405997</v>
      </c>
      <c r="T11">
        <v>145.2314</v>
      </c>
      <c r="U11">
        <f t="shared" si="4"/>
        <v>2.162060523887744</v>
      </c>
    </row>
    <row r="12" spans="4:21" ht="12.75">
      <c r="D12">
        <v>4</v>
      </c>
      <c r="E12">
        <v>98.8135</v>
      </c>
      <c r="F12">
        <f t="shared" si="1"/>
        <v>1.9948162823911164</v>
      </c>
      <c r="H12">
        <f t="shared" si="2"/>
        <v>0.35365853658536583</v>
      </c>
      <c r="I12">
        <f t="shared" si="0"/>
        <v>-0.3754619162230459</v>
      </c>
      <c r="J12">
        <v>100.7608</v>
      </c>
      <c r="K12">
        <v>2.003291606962303</v>
      </c>
      <c r="O12">
        <v>218.232</v>
      </c>
      <c r="P12">
        <f t="shared" si="3"/>
        <v>2.3389184327988906</v>
      </c>
      <c r="R12">
        <v>0.35365853658536583</v>
      </c>
      <c r="S12">
        <v>-0.3754619162230459</v>
      </c>
      <c r="T12">
        <v>218.232</v>
      </c>
      <c r="U12">
        <f t="shared" si="4"/>
        <v>2.3389184327988906</v>
      </c>
    </row>
    <row r="13" spans="4:21" ht="12.75">
      <c r="D13">
        <v>5</v>
      </c>
      <c r="E13">
        <v>146.8617</v>
      </c>
      <c r="F13">
        <f t="shared" si="1"/>
        <v>2.1669085510837403</v>
      </c>
      <c r="H13">
        <f t="shared" si="2"/>
        <v>0.45121951219512196</v>
      </c>
      <c r="I13">
        <f t="shared" si="0"/>
        <v>-0.12258073716776852</v>
      </c>
      <c r="J13">
        <v>111.8105</v>
      </c>
      <c r="K13">
        <v>2.0484825895784606</v>
      </c>
      <c r="O13">
        <v>228.7836</v>
      </c>
      <c r="P13">
        <f t="shared" si="3"/>
        <v>2.3594248895057013</v>
      </c>
      <c r="R13">
        <v>0.45121951219512196</v>
      </c>
      <c r="S13">
        <v>-0.12258073716776852</v>
      </c>
      <c r="T13">
        <v>228.7836</v>
      </c>
      <c r="U13">
        <f t="shared" si="4"/>
        <v>2.3594248895057013</v>
      </c>
    </row>
    <row r="14" spans="4:21" ht="12.75">
      <c r="D14">
        <v>6</v>
      </c>
      <c r="E14">
        <v>113.7125</v>
      </c>
      <c r="F14">
        <f t="shared" si="1"/>
        <v>2.055808207718828</v>
      </c>
      <c r="H14">
        <f t="shared" si="2"/>
        <v>0.5487804878048781</v>
      </c>
      <c r="I14">
        <f t="shared" si="0"/>
        <v>0.12258073716776852</v>
      </c>
      <c r="J14">
        <v>113.7125</v>
      </c>
      <c r="K14">
        <v>2.055808207718828</v>
      </c>
      <c r="O14">
        <v>301.7843</v>
      </c>
      <c r="P14">
        <f t="shared" si="3"/>
        <v>2.4796966423291558</v>
      </c>
      <c r="R14">
        <v>0.5487804878048781</v>
      </c>
      <c r="S14">
        <v>0.12258073716776852</v>
      </c>
      <c r="T14">
        <v>301.7843</v>
      </c>
      <c r="U14">
        <f t="shared" si="4"/>
        <v>2.4796966423291558</v>
      </c>
    </row>
    <row r="15" spans="4:21" ht="12.75">
      <c r="D15">
        <v>7</v>
      </c>
      <c r="E15">
        <v>111.8105</v>
      </c>
      <c r="F15">
        <f t="shared" si="1"/>
        <v>2.0484825895784606</v>
      </c>
      <c r="H15">
        <f t="shared" si="2"/>
        <v>0.6463414634146342</v>
      </c>
      <c r="I15">
        <f t="shared" si="0"/>
        <v>0.3754619162230459</v>
      </c>
      <c r="J15">
        <v>134.8157</v>
      </c>
      <c r="K15">
        <v>2.1297404710296406</v>
      </c>
      <c r="O15">
        <v>331.1294</v>
      </c>
      <c r="P15">
        <f t="shared" si="3"/>
        <v>2.5199977421864483</v>
      </c>
      <c r="R15">
        <v>0.6463414634146342</v>
      </c>
      <c r="S15">
        <v>0.3754619162230459</v>
      </c>
      <c r="T15">
        <v>331.1294</v>
      </c>
      <c r="U15">
        <f t="shared" si="4"/>
        <v>2.5199977421864483</v>
      </c>
    </row>
    <row r="16" spans="4:21" ht="12.75">
      <c r="D16">
        <v>8</v>
      </c>
      <c r="E16">
        <v>134.8157</v>
      </c>
      <c r="F16">
        <f t="shared" si="1"/>
        <v>2.1297404710296406</v>
      </c>
      <c r="H16">
        <f t="shared" si="2"/>
        <v>0.7439024390243902</v>
      </c>
      <c r="I16">
        <f t="shared" si="0"/>
        <v>0.6554232932405992</v>
      </c>
      <c r="J16">
        <v>146.8617</v>
      </c>
      <c r="K16">
        <v>2.1669085510837403</v>
      </c>
      <c r="O16">
        <v>585.4542</v>
      </c>
      <c r="P16">
        <f t="shared" si="3"/>
        <v>2.7674929259407923</v>
      </c>
      <c r="R16">
        <v>0.7439024390243902</v>
      </c>
      <c r="S16">
        <v>0.6554232932405992</v>
      </c>
      <c r="T16">
        <v>585.4542</v>
      </c>
      <c r="U16">
        <f t="shared" si="4"/>
        <v>2.7674929259407923</v>
      </c>
    </row>
    <row r="17" spans="4:21" ht="12.75">
      <c r="D17">
        <v>9</v>
      </c>
      <c r="E17">
        <v>332.8503</v>
      </c>
      <c r="F17">
        <f t="shared" si="1"/>
        <v>2.5222489527201244</v>
      </c>
      <c r="H17">
        <f t="shared" si="2"/>
        <v>0.8414634146341463</v>
      </c>
      <c r="I17">
        <f t="shared" si="0"/>
        <v>1.000490570505999</v>
      </c>
      <c r="J17">
        <v>332.8503</v>
      </c>
      <c r="K17">
        <v>2.5222489527201244</v>
      </c>
      <c r="O17">
        <v>1371.0715</v>
      </c>
      <c r="P17">
        <f t="shared" si="3"/>
        <v>3.1370601034005814</v>
      </c>
      <c r="R17">
        <v>0.8414634146341463</v>
      </c>
      <c r="S17">
        <v>1.000490570505999</v>
      </c>
      <c r="T17">
        <v>1371.0715</v>
      </c>
      <c r="U17">
        <f t="shared" si="4"/>
        <v>3.1370601034005814</v>
      </c>
    </row>
    <row r="18" spans="4:21" ht="12.75">
      <c r="D18">
        <v>10</v>
      </c>
      <c r="E18">
        <v>362.1049</v>
      </c>
      <c r="F18">
        <f t="shared" si="1"/>
        <v>2.5588344017254983</v>
      </c>
      <c r="H18">
        <f t="shared" si="2"/>
        <v>0.9390243902439024</v>
      </c>
      <c r="I18">
        <f t="shared" si="0"/>
        <v>1.5466353865887519</v>
      </c>
      <c r="J18">
        <v>362.1049</v>
      </c>
      <c r="K18">
        <v>2.5588344017254983</v>
      </c>
      <c r="O18">
        <v>1612.8521</v>
      </c>
      <c r="P18">
        <f t="shared" si="3"/>
        <v>3.2075945440170726</v>
      </c>
      <c r="R18">
        <v>0.9390243902439024</v>
      </c>
      <c r="S18">
        <v>1.5466353865887519</v>
      </c>
      <c r="T18">
        <v>1612.8521</v>
      </c>
      <c r="U18">
        <f t="shared" si="4"/>
        <v>3.2075945440170726</v>
      </c>
    </row>
    <row r="20" spans="4:16" ht="12.75">
      <c r="D20" t="s">
        <v>134</v>
      </c>
      <c r="E20">
        <f>AVERAGE(E9:E18)</f>
        <v>152.16465</v>
      </c>
      <c r="F20">
        <f>AVERAGE(F9:F18)</f>
        <v>2.103572041467054</v>
      </c>
      <c r="N20" t="s">
        <v>134</v>
      </c>
      <c r="O20">
        <f>AVERAGE(O9:O18)</f>
        <v>506.56190000000004</v>
      </c>
      <c r="P20">
        <f>AVERAGE(P9:P18)</f>
        <v>2.5235718201494484</v>
      </c>
    </row>
    <row r="21" spans="4:16" ht="12.75">
      <c r="D21" t="s">
        <v>135</v>
      </c>
      <c r="E21">
        <f>STDEV(E9:E18)</f>
        <v>106.79829225456587</v>
      </c>
      <c r="F21" s="1">
        <f>STDEV(F9:F18)</f>
        <v>0.2639038932558542</v>
      </c>
      <c r="N21" t="s">
        <v>135</v>
      </c>
      <c r="O21">
        <f>STDEV(O9:O18)</f>
        <v>539.1777896557869</v>
      </c>
      <c r="P21" s="1">
        <f>STDEV(P9:P18)</f>
        <v>0.39511870523732506</v>
      </c>
    </row>
    <row r="22" spans="4:16" ht="12.75">
      <c r="D22" t="s">
        <v>136</v>
      </c>
      <c r="E22">
        <f>COUNT(E9:E18)</f>
        <v>10</v>
      </c>
      <c r="F22">
        <f>COUNT(F9:F18)</f>
        <v>10</v>
      </c>
      <c r="N22" t="s">
        <v>136</v>
      </c>
      <c r="O22">
        <f>COUNT(O9:O18)</f>
        <v>10</v>
      </c>
      <c r="P22">
        <f>COUNT(P9:P18)</f>
        <v>10</v>
      </c>
    </row>
    <row r="23" spans="4:16" ht="12.75">
      <c r="D23" t="s">
        <v>137</v>
      </c>
      <c r="E23">
        <f>E21/(E22^0.5)</f>
        <v>33.77258537407473</v>
      </c>
      <c r="F23">
        <f>F21/(F22^0.5)</f>
        <v>0.08345373860744484</v>
      </c>
      <c r="N23" t="s">
        <v>137</v>
      </c>
      <c r="O23">
        <f>O21/(O22^0.5)</f>
        <v>170.50298790874604</v>
      </c>
      <c r="P23">
        <f>P21/(P22^0.5)</f>
        <v>0.12494750546866477</v>
      </c>
    </row>
    <row r="24" spans="4:15" ht="12.75">
      <c r="D24" t="s">
        <v>138</v>
      </c>
      <c r="E24" s="1">
        <f>E21/E20</f>
        <v>0.7018600723266927</v>
      </c>
      <c r="N24" t="s">
        <v>138</v>
      </c>
      <c r="O24" s="1">
        <f>O21/O20</f>
        <v>1.064386780087067</v>
      </c>
    </row>
    <row r="65" ht="12.75">
      <c r="G65" t="s">
        <v>915</v>
      </c>
    </row>
    <row r="66" spans="4:15" ht="12.75">
      <c r="D66" t="s">
        <v>898</v>
      </c>
      <c r="G66" t="s">
        <v>909</v>
      </c>
      <c r="H66" t="s">
        <v>911</v>
      </c>
      <c r="O66" t="s">
        <v>918</v>
      </c>
    </row>
    <row r="67" spans="4:17" ht="12.75">
      <c r="D67" t="s">
        <v>177</v>
      </c>
      <c r="E67" t="s">
        <v>969</v>
      </c>
      <c r="F67" t="s">
        <v>192</v>
      </c>
      <c r="G67" t="s">
        <v>910</v>
      </c>
      <c r="H67" t="s">
        <v>912</v>
      </c>
      <c r="J67" t="s">
        <v>916</v>
      </c>
      <c r="K67" t="s">
        <v>917</v>
      </c>
      <c r="P67" t="s">
        <v>909</v>
      </c>
      <c r="Q67" t="s">
        <v>911</v>
      </c>
    </row>
    <row r="68" spans="4:20" ht="12.75">
      <c r="D68" t="s">
        <v>899</v>
      </c>
      <c r="E68" t="s">
        <v>913</v>
      </c>
      <c r="G68">
        <v>1</v>
      </c>
      <c r="H68">
        <v>0.34</v>
      </c>
      <c r="J68">
        <f>LOG(G68)</f>
        <v>0</v>
      </c>
      <c r="K68">
        <f>LOG(H68)</f>
        <v>-0.46852108295774486</v>
      </c>
      <c r="N68" t="s">
        <v>99</v>
      </c>
      <c r="O68" t="s">
        <v>190</v>
      </c>
      <c r="P68" t="s">
        <v>910</v>
      </c>
      <c r="Q68" t="s">
        <v>912</v>
      </c>
      <c r="S68" t="s">
        <v>916</v>
      </c>
      <c r="T68" t="s">
        <v>917</v>
      </c>
    </row>
    <row r="69" spans="4:20" ht="12.75">
      <c r="D69" t="s">
        <v>900</v>
      </c>
      <c r="E69" t="s">
        <v>913</v>
      </c>
      <c r="F69">
        <v>21</v>
      </c>
      <c r="G69">
        <v>0.53</v>
      </c>
      <c r="H69">
        <v>0.65</v>
      </c>
      <c r="J69">
        <f aca="true" t="shared" si="5" ref="J69:J77">LOG(G69)</f>
        <v>-0.27572413039921095</v>
      </c>
      <c r="K69">
        <f aca="true" t="shared" si="6" ref="K69:K77">LOG(H69)</f>
        <v>-0.18708664335714442</v>
      </c>
      <c r="M69">
        <v>1</v>
      </c>
      <c r="N69">
        <f>(M69-3/8)/10.25</f>
        <v>0.06097560975609756</v>
      </c>
      <c r="O69">
        <f aca="true" t="shared" si="7" ref="O69:O78">NORMSINV(N69)</f>
        <v>-1.5466353865887528</v>
      </c>
      <c r="P69">
        <v>0.33</v>
      </c>
      <c r="Q69">
        <v>0.14</v>
      </c>
      <c r="S69">
        <f aca="true" t="shared" si="8" ref="S69:S78">LOG(P69)</f>
        <v>-0.4814860601221125</v>
      </c>
      <c r="T69">
        <f aca="true" t="shared" si="9" ref="T69:T78">LOG(Q69)</f>
        <v>-0.8538719643217619</v>
      </c>
    </row>
    <row r="70" spans="4:20" ht="12.75">
      <c r="D70" t="s">
        <v>901</v>
      </c>
      <c r="E70" t="s">
        <v>914</v>
      </c>
      <c r="F70">
        <v>23</v>
      </c>
      <c r="G70">
        <v>1.07</v>
      </c>
      <c r="H70">
        <v>0.37</v>
      </c>
      <c r="J70">
        <f t="shared" si="5"/>
        <v>0.029383777685209667</v>
      </c>
      <c r="K70">
        <f t="shared" si="6"/>
        <v>-0.431798275933005</v>
      </c>
      <c r="M70">
        <v>2</v>
      </c>
      <c r="N70">
        <f aca="true" t="shared" si="10" ref="N70:N78">(M70-3/8)/10.25</f>
        <v>0.15853658536585366</v>
      </c>
      <c r="O70">
        <f t="shared" si="7"/>
        <v>-1.0004905705059994</v>
      </c>
      <c r="P70">
        <v>0.53</v>
      </c>
      <c r="Q70">
        <v>0.34</v>
      </c>
      <c r="S70">
        <f t="shared" si="8"/>
        <v>-0.27572413039921095</v>
      </c>
      <c r="T70">
        <f t="shared" si="9"/>
        <v>-0.46852108295774486</v>
      </c>
    </row>
    <row r="71" spans="4:20" ht="12.75">
      <c r="D71" t="s">
        <v>902</v>
      </c>
      <c r="E71" t="s">
        <v>914</v>
      </c>
      <c r="F71">
        <v>35</v>
      </c>
      <c r="G71">
        <v>8.72</v>
      </c>
      <c r="H71">
        <v>2.7</v>
      </c>
      <c r="J71">
        <f t="shared" si="5"/>
        <v>0.9405164849325672</v>
      </c>
      <c r="K71">
        <f t="shared" si="6"/>
        <v>0.43136376415898736</v>
      </c>
      <c r="M71">
        <v>3</v>
      </c>
      <c r="N71">
        <f t="shared" si="10"/>
        <v>0.25609756097560976</v>
      </c>
      <c r="O71">
        <f t="shared" si="7"/>
        <v>-0.6554232932405997</v>
      </c>
      <c r="P71">
        <v>0.65</v>
      </c>
      <c r="Q71">
        <v>0.34</v>
      </c>
      <c r="S71">
        <f t="shared" si="8"/>
        <v>-0.18708664335714442</v>
      </c>
      <c r="T71">
        <f t="shared" si="9"/>
        <v>-0.46852108295774486</v>
      </c>
    </row>
    <row r="72" spans="4:20" ht="12.75">
      <c r="D72" t="s">
        <v>903</v>
      </c>
      <c r="E72" t="s">
        <v>913</v>
      </c>
      <c r="F72">
        <v>39</v>
      </c>
      <c r="G72">
        <v>0.69</v>
      </c>
      <c r="H72">
        <v>0.14</v>
      </c>
      <c r="J72">
        <f t="shared" si="5"/>
        <v>-0.16115090926274472</v>
      </c>
      <c r="K72">
        <f t="shared" si="6"/>
        <v>-0.8538719643217619</v>
      </c>
      <c r="M72">
        <v>4</v>
      </c>
      <c r="N72">
        <f t="shared" si="10"/>
        <v>0.35365853658536583</v>
      </c>
      <c r="O72">
        <f t="shared" si="7"/>
        <v>-0.3754619162230459</v>
      </c>
      <c r="P72">
        <v>0.69</v>
      </c>
      <c r="Q72">
        <v>0.36</v>
      </c>
      <c r="S72">
        <f t="shared" si="8"/>
        <v>-0.16115090926274472</v>
      </c>
      <c r="T72">
        <f t="shared" si="9"/>
        <v>-0.44369749923271273</v>
      </c>
    </row>
    <row r="73" spans="4:20" ht="12.75">
      <c r="D73" t="s">
        <v>904</v>
      </c>
      <c r="E73" t="s">
        <v>913</v>
      </c>
      <c r="F73">
        <v>52</v>
      </c>
      <c r="G73">
        <v>0.65</v>
      </c>
      <c r="H73">
        <v>0.36</v>
      </c>
      <c r="J73">
        <f t="shared" si="5"/>
        <v>-0.18708664335714442</v>
      </c>
      <c r="K73">
        <f t="shared" si="6"/>
        <v>-0.44369749923271273</v>
      </c>
      <c r="M73">
        <v>5</v>
      </c>
      <c r="N73">
        <f t="shared" si="10"/>
        <v>0.45121951219512196</v>
      </c>
      <c r="O73">
        <f t="shared" si="7"/>
        <v>-0.12258073716776852</v>
      </c>
      <c r="P73">
        <v>0.97</v>
      </c>
      <c r="Q73">
        <v>0.37</v>
      </c>
      <c r="S73">
        <f t="shared" si="8"/>
        <v>-0.01322826573375516</v>
      </c>
      <c r="T73">
        <f t="shared" si="9"/>
        <v>-0.431798275933005</v>
      </c>
    </row>
    <row r="74" spans="4:20" ht="12.75">
      <c r="D74" t="s">
        <v>905</v>
      </c>
      <c r="E74" t="s">
        <v>913</v>
      </c>
      <c r="F74">
        <v>20</v>
      </c>
      <c r="G74">
        <v>0.33</v>
      </c>
      <c r="H74">
        <v>0.34</v>
      </c>
      <c r="J74">
        <f t="shared" si="5"/>
        <v>-0.4814860601221125</v>
      </c>
      <c r="K74">
        <f t="shared" si="6"/>
        <v>-0.46852108295774486</v>
      </c>
      <c r="M74">
        <v>6</v>
      </c>
      <c r="N74">
        <f t="shared" si="10"/>
        <v>0.5487804878048781</v>
      </c>
      <c r="O74">
        <f t="shared" si="7"/>
        <v>0.12258073716776852</v>
      </c>
      <c r="P74">
        <v>1</v>
      </c>
      <c r="Q74">
        <v>0.52</v>
      </c>
      <c r="S74">
        <f t="shared" si="8"/>
        <v>0</v>
      </c>
      <c r="T74">
        <f t="shared" si="9"/>
        <v>-0.28399665636520083</v>
      </c>
    </row>
    <row r="75" spans="4:20" ht="12.75">
      <c r="D75" t="s">
        <v>906</v>
      </c>
      <c r="E75" t="s">
        <v>914</v>
      </c>
      <c r="F75">
        <v>37</v>
      </c>
      <c r="G75">
        <v>5.71</v>
      </c>
      <c r="H75">
        <v>1.42</v>
      </c>
      <c r="J75">
        <f t="shared" si="5"/>
        <v>0.756636108245848</v>
      </c>
      <c r="K75">
        <f t="shared" si="6"/>
        <v>0.15228834438305647</v>
      </c>
      <c r="M75">
        <v>7</v>
      </c>
      <c r="N75">
        <f t="shared" si="10"/>
        <v>0.6463414634146342</v>
      </c>
      <c r="O75">
        <f t="shared" si="7"/>
        <v>0.3754619162230459</v>
      </c>
      <c r="P75">
        <v>1.07</v>
      </c>
      <c r="Q75">
        <v>0.65</v>
      </c>
      <c r="S75">
        <f t="shared" si="8"/>
        <v>0.029383777685209667</v>
      </c>
      <c r="T75">
        <f t="shared" si="9"/>
        <v>-0.18708664335714442</v>
      </c>
    </row>
    <row r="76" spans="4:20" ht="12.75">
      <c r="D76" t="s">
        <v>907</v>
      </c>
      <c r="E76" t="s">
        <v>914</v>
      </c>
      <c r="F76">
        <v>50</v>
      </c>
      <c r="G76">
        <v>5.69</v>
      </c>
      <c r="H76">
        <v>0.81</v>
      </c>
      <c r="J76">
        <f t="shared" si="5"/>
        <v>0.7551122663950712</v>
      </c>
      <c r="K76">
        <f t="shared" si="6"/>
        <v>-0.09151498112135022</v>
      </c>
      <c r="M76">
        <v>8</v>
      </c>
      <c r="N76">
        <f t="shared" si="10"/>
        <v>0.7439024390243902</v>
      </c>
      <c r="O76">
        <f t="shared" si="7"/>
        <v>0.6554232932405992</v>
      </c>
      <c r="P76">
        <v>5.69</v>
      </c>
      <c r="Q76">
        <v>0.81</v>
      </c>
      <c r="S76">
        <f t="shared" si="8"/>
        <v>0.7551122663950712</v>
      </c>
      <c r="T76">
        <f t="shared" si="9"/>
        <v>-0.09151498112135022</v>
      </c>
    </row>
    <row r="77" spans="4:20" ht="12.75">
      <c r="D77" t="s">
        <v>908</v>
      </c>
      <c r="E77" t="s">
        <v>914</v>
      </c>
      <c r="F77">
        <v>50</v>
      </c>
      <c r="G77">
        <v>0.97</v>
      </c>
      <c r="H77">
        <v>0.52</v>
      </c>
      <c r="J77">
        <f t="shared" si="5"/>
        <v>-0.01322826573375516</v>
      </c>
      <c r="K77">
        <f t="shared" si="6"/>
        <v>-0.28399665636520083</v>
      </c>
      <c r="M77">
        <v>9</v>
      </c>
      <c r="N77">
        <f t="shared" si="10"/>
        <v>0.8414634146341463</v>
      </c>
      <c r="O77">
        <f t="shared" si="7"/>
        <v>1.000490570505999</v>
      </c>
      <c r="P77">
        <v>5.71</v>
      </c>
      <c r="Q77">
        <v>1.42</v>
      </c>
      <c r="S77">
        <f t="shared" si="8"/>
        <v>0.756636108245848</v>
      </c>
      <c r="T77">
        <f t="shared" si="9"/>
        <v>0.15228834438305647</v>
      </c>
    </row>
    <row r="78" spans="6:20" ht="12.75">
      <c r="F78" t="s">
        <v>134</v>
      </c>
      <c r="G78">
        <f>AVERAGE(G68:G77)</f>
        <v>2.536</v>
      </c>
      <c r="H78">
        <f>AVERAGE(H68:H77)</f>
        <v>0.765</v>
      </c>
      <c r="J78">
        <f>AVERAGE(J68:J77)</f>
        <v>0.13629726283837282</v>
      </c>
      <c r="K78">
        <f>AVERAGE(K68:K77)</f>
        <v>-0.26453560777046214</v>
      </c>
      <c r="M78">
        <v>10</v>
      </c>
      <c r="N78">
        <f t="shared" si="10"/>
        <v>0.9390243902439024</v>
      </c>
      <c r="O78">
        <f t="shared" si="7"/>
        <v>1.5466353865887519</v>
      </c>
      <c r="P78">
        <v>8.72</v>
      </c>
      <c r="Q78">
        <v>2.7</v>
      </c>
      <c r="S78">
        <f t="shared" si="8"/>
        <v>0.9405164849325672</v>
      </c>
      <c r="T78">
        <f t="shared" si="9"/>
        <v>0.43136376415898736</v>
      </c>
    </row>
    <row r="79" spans="6:11" ht="12.75">
      <c r="F79" t="s">
        <v>135</v>
      </c>
      <c r="G79">
        <f>STDEV(G68:G77)</f>
        <v>3.001478154361799</v>
      </c>
      <c r="H79" s="13">
        <f>STDEV(H68:H77)</f>
        <v>0.7688700222476562</v>
      </c>
      <c r="J79" s="1">
        <f>STDEV(J68:J77)</f>
        <v>0.4956876927035427</v>
      </c>
      <c r="K79" s="1">
        <f>STDEV(K68:K77)</f>
        <v>0.36285053971281683</v>
      </c>
    </row>
    <row r="80" spans="6:11" ht="12.75">
      <c r="F80" t="s">
        <v>136</v>
      </c>
      <c r="G80">
        <f>COUNT(G68:G77)</f>
        <v>10</v>
      </c>
      <c r="H80">
        <f>COUNT(H68:H77)</f>
        <v>10</v>
      </c>
      <c r="J80">
        <f>COUNT(J68:J77)</f>
        <v>10</v>
      </c>
      <c r="K80">
        <f>COUNT(K68:K77)</f>
        <v>10</v>
      </c>
    </row>
    <row r="81" spans="6:11" ht="12.75">
      <c r="F81" t="s">
        <v>137</v>
      </c>
      <c r="G81">
        <f>G79/(G80^0.5)</f>
        <v>0.9491507315021734</v>
      </c>
      <c r="H81">
        <f>H79/(H80^0.5)</f>
        <v>0.2431380494926928</v>
      </c>
      <c r="J81">
        <f>J79/(J80^0.5)</f>
        <v>0.15675021170568215</v>
      </c>
      <c r="K81">
        <f>K79/(K80^0.5)</f>
        <v>0.114743415571388</v>
      </c>
    </row>
    <row r="82" spans="6:8" ht="12.75">
      <c r="F82" t="s">
        <v>138</v>
      </c>
      <c r="G82" s="1">
        <f>G79/G78</f>
        <v>1.1835481681237379</v>
      </c>
      <c r="H82" s="1">
        <f>H79/H78</f>
        <v>1.0050588526113153</v>
      </c>
    </row>
  </sheetData>
  <printOptions/>
  <pageMargins left="0.75" right="0.75" top="1" bottom="1" header="0.5" footer="0.5"/>
  <pageSetup orientation="portrait" paperSize="9"/>
  <drawing r:id="rId1"/>
</worksheet>
</file>

<file path=xl/worksheets/sheet26.xml><?xml version="1.0" encoding="utf-8"?>
<worksheet xmlns="http://schemas.openxmlformats.org/spreadsheetml/2006/main" xmlns:r="http://schemas.openxmlformats.org/officeDocument/2006/relationships">
  <dimension ref="A1:AL28"/>
  <sheetViews>
    <sheetView workbookViewId="0" topLeftCell="F1">
      <selection activeCell="K17" sqref="K17"/>
    </sheetView>
  </sheetViews>
  <sheetFormatPr defaultColWidth="9.140625" defaultRowHeight="12.75"/>
  <cols>
    <col min="1" max="4" width="8.8515625" style="0" customWidth="1"/>
    <col min="5" max="5" width="21.140625" style="0" customWidth="1"/>
    <col min="6" max="6" width="20.140625" style="0" customWidth="1"/>
    <col min="7" max="7" width="26.28125" style="0" customWidth="1"/>
    <col min="8" max="8" width="17.421875" style="0" customWidth="1"/>
    <col min="9" max="9" width="32.140625" style="0" customWidth="1"/>
    <col min="10" max="10" width="15.28125" style="0" customWidth="1"/>
    <col min="11" max="11" width="31.140625" style="0" customWidth="1"/>
    <col min="12" max="12" width="13.8515625" style="0" customWidth="1"/>
    <col min="13" max="13" width="15.00390625" style="0" customWidth="1"/>
    <col min="14" max="14" width="15.8515625" style="0" customWidth="1"/>
    <col min="15" max="16" width="20.140625" style="0" customWidth="1"/>
    <col min="17" max="17" width="17.28125" style="0" customWidth="1"/>
    <col min="18" max="23" width="8.8515625" style="0" customWidth="1"/>
    <col min="24" max="24" width="12.7109375" style="0" customWidth="1"/>
    <col min="25" max="25" width="13.140625" style="0" customWidth="1"/>
    <col min="26" max="16384" width="8.8515625" style="0" customWidth="1"/>
  </cols>
  <sheetData>
    <row r="1" spans="1:17" ht="38.25">
      <c r="A1" s="7" t="s">
        <v>69</v>
      </c>
      <c r="B1" s="7" t="s">
        <v>57</v>
      </c>
      <c r="C1" s="7" t="s">
        <v>58</v>
      </c>
      <c r="D1" s="7" t="s">
        <v>59</v>
      </c>
      <c r="E1" s="7" t="s">
        <v>60</v>
      </c>
      <c r="F1" s="7" t="s">
        <v>92</v>
      </c>
      <c r="G1" s="7" t="s">
        <v>61</v>
      </c>
      <c r="H1" s="7" t="s">
        <v>62</v>
      </c>
      <c r="I1" s="7" t="s">
        <v>63</v>
      </c>
      <c r="J1" s="8" t="s">
        <v>64</v>
      </c>
      <c r="K1" s="8" t="s">
        <v>138</v>
      </c>
      <c r="L1" s="7" t="s">
        <v>1126</v>
      </c>
      <c r="M1" s="7" t="s">
        <v>1127</v>
      </c>
      <c r="N1" s="7" t="s">
        <v>66</v>
      </c>
      <c r="O1" s="7" t="s">
        <v>85</v>
      </c>
      <c r="P1" s="7" t="s">
        <v>67</v>
      </c>
      <c r="Q1" s="7" t="s">
        <v>68</v>
      </c>
    </row>
    <row r="2" spans="2:16" ht="12.75">
      <c r="B2" s="12" t="s">
        <v>1058</v>
      </c>
      <c r="D2" t="s">
        <v>121</v>
      </c>
      <c r="E2" t="s">
        <v>883</v>
      </c>
      <c r="F2" t="s">
        <v>890</v>
      </c>
      <c r="G2" t="s">
        <v>885</v>
      </c>
      <c r="H2" t="s">
        <v>103</v>
      </c>
      <c r="I2" t="s">
        <v>1053</v>
      </c>
      <c r="J2">
        <v>0.2828402011758679</v>
      </c>
      <c r="K2">
        <v>0.4591269806272097</v>
      </c>
      <c r="L2" t="s">
        <v>892</v>
      </c>
      <c r="N2" t="s">
        <v>107</v>
      </c>
      <c r="O2">
        <v>0.8926</v>
      </c>
      <c r="P2">
        <v>5</v>
      </c>
    </row>
    <row r="3" spans="2:16" ht="12.75">
      <c r="B3" s="12" t="s">
        <v>1058</v>
      </c>
      <c r="D3" t="s">
        <v>121</v>
      </c>
      <c r="E3" t="s">
        <v>883</v>
      </c>
      <c r="F3" t="s">
        <v>890</v>
      </c>
      <c r="G3" t="s">
        <v>885</v>
      </c>
      <c r="H3" t="s">
        <v>103</v>
      </c>
      <c r="I3" t="s">
        <v>884</v>
      </c>
      <c r="J3">
        <v>0.5496900146953541</v>
      </c>
      <c r="K3">
        <v>0.9260535444604613</v>
      </c>
      <c r="L3" t="s">
        <v>892</v>
      </c>
      <c r="N3" t="s">
        <v>95</v>
      </c>
      <c r="O3">
        <v>0.9436</v>
      </c>
      <c r="P3">
        <v>5</v>
      </c>
    </row>
    <row r="4" spans="2:16" ht="12.75">
      <c r="B4" s="12" t="s">
        <v>1058</v>
      </c>
      <c r="D4" t="s">
        <v>121</v>
      </c>
      <c r="E4" t="s">
        <v>883</v>
      </c>
      <c r="F4" t="s">
        <v>890</v>
      </c>
      <c r="G4" t="s">
        <v>885</v>
      </c>
      <c r="H4" t="s">
        <v>103</v>
      </c>
      <c r="I4" t="s">
        <v>568</v>
      </c>
      <c r="J4">
        <v>0.2959061938488162</v>
      </c>
      <c r="K4" s="1">
        <v>0.6241601596748839</v>
      </c>
      <c r="L4" t="s">
        <v>892</v>
      </c>
      <c r="N4" t="s">
        <v>95</v>
      </c>
      <c r="O4">
        <v>0.9774</v>
      </c>
      <c r="P4">
        <v>5</v>
      </c>
    </row>
    <row r="5" spans="2:16" ht="12.75">
      <c r="B5" s="12" t="s">
        <v>1058</v>
      </c>
      <c r="D5" t="s">
        <v>121</v>
      </c>
      <c r="E5" t="s">
        <v>883</v>
      </c>
      <c r="F5" t="s">
        <v>890</v>
      </c>
      <c r="G5" t="s">
        <v>891</v>
      </c>
      <c r="H5" t="s">
        <v>103</v>
      </c>
      <c r="I5" t="s">
        <v>887</v>
      </c>
      <c r="J5" s="1">
        <v>0.534930227344894</v>
      </c>
      <c r="K5" s="1">
        <v>0.8617842576243808</v>
      </c>
      <c r="L5" t="s">
        <v>892</v>
      </c>
      <c r="N5" s="13" t="s">
        <v>886</v>
      </c>
      <c r="O5">
        <v>0.904</v>
      </c>
      <c r="P5">
        <v>5</v>
      </c>
    </row>
    <row r="6" spans="2:16" ht="12.75">
      <c r="B6" s="12" t="s">
        <v>1058</v>
      </c>
      <c r="D6" t="s">
        <v>121</v>
      </c>
      <c r="E6" t="s">
        <v>883</v>
      </c>
      <c r="F6" t="s">
        <v>890</v>
      </c>
      <c r="G6" t="s">
        <v>891</v>
      </c>
      <c r="H6" t="s">
        <v>103</v>
      </c>
      <c r="I6" t="s">
        <v>888</v>
      </c>
      <c r="J6">
        <v>0.2835649852251182</v>
      </c>
      <c r="K6">
        <v>0.5713102334582566</v>
      </c>
      <c r="L6" t="s">
        <v>892</v>
      </c>
      <c r="N6" t="s">
        <v>107</v>
      </c>
      <c r="O6">
        <v>0.9616</v>
      </c>
      <c r="P6">
        <v>5</v>
      </c>
    </row>
    <row r="7" spans="2:11" ht="12.75">
      <c r="B7" s="12"/>
      <c r="K7" s="15"/>
    </row>
    <row r="8" spans="2:11" ht="12.75">
      <c r="B8" s="12"/>
      <c r="K8" s="15"/>
    </row>
    <row r="9" spans="2:11" ht="12.75">
      <c r="B9" s="12"/>
      <c r="K9" s="15"/>
    </row>
    <row r="10" spans="2:12" ht="12.75">
      <c r="B10" s="12"/>
      <c r="G10" t="s">
        <v>893</v>
      </c>
      <c r="L10" s="15"/>
    </row>
    <row r="11" spans="12:24" ht="12.75">
      <c r="L11" s="15"/>
      <c r="X11" t="s">
        <v>1052</v>
      </c>
    </row>
    <row r="12" ht="12.75">
      <c r="L12" s="15"/>
    </row>
    <row r="13" spans="12:23" ht="12.75">
      <c r="L13" s="15"/>
      <c r="W13" t="s">
        <v>1012</v>
      </c>
    </row>
    <row r="14" spans="4:33" ht="13.5" thickBot="1">
      <c r="D14" s="24"/>
      <c r="E14" s="24"/>
      <c r="F14" s="24"/>
      <c r="G14" s="24"/>
      <c r="H14" s="24"/>
      <c r="I14" s="24"/>
      <c r="J14" s="24"/>
      <c r="K14" s="24"/>
      <c r="L14" s="24"/>
      <c r="W14" t="s">
        <v>999</v>
      </c>
      <c r="X14" t="s">
        <v>971</v>
      </c>
      <c r="Y14" t="s">
        <v>1000</v>
      </c>
      <c r="Z14" t="s">
        <v>1001</v>
      </c>
      <c r="AA14" t="s">
        <v>1002</v>
      </c>
      <c r="AC14" t="s">
        <v>191</v>
      </c>
      <c r="AD14" t="s">
        <v>1049</v>
      </c>
      <c r="AE14" t="s">
        <v>1050</v>
      </c>
      <c r="AF14" t="s">
        <v>1051</v>
      </c>
      <c r="AG14" t="s">
        <v>567</v>
      </c>
    </row>
    <row r="15" spans="4:38" ht="12.75">
      <c r="D15" s="61"/>
      <c r="E15" s="61"/>
      <c r="F15" s="61"/>
      <c r="G15" s="52" t="s">
        <v>999</v>
      </c>
      <c r="H15" s="52" t="s">
        <v>971</v>
      </c>
      <c r="I15" s="52" t="s">
        <v>1000</v>
      </c>
      <c r="J15" s="52" t="s">
        <v>565</v>
      </c>
      <c r="K15" s="52" t="s">
        <v>1001</v>
      </c>
      <c r="L15" s="52" t="s">
        <v>1002</v>
      </c>
      <c r="N15" s="52" t="s">
        <v>191</v>
      </c>
      <c r="O15" s="52" t="s">
        <v>1049</v>
      </c>
      <c r="P15" s="46" t="s">
        <v>1050</v>
      </c>
      <c r="Q15" s="46" t="s">
        <v>1051</v>
      </c>
      <c r="R15" s="46" t="s">
        <v>567</v>
      </c>
      <c r="U15" t="s">
        <v>99</v>
      </c>
      <c r="V15" t="s">
        <v>190</v>
      </c>
      <c r="X15" t="s">
        <v>1119</v>
      </c>
      <c r="Y15" t="s">
        <v>1003</v>
      </c>
      <c r="Z15" t="s">
        <v>1004</v>
      </c>
      <c r="AA15" t="s">
        <v>1005</v>
      </c>
      <c r="AJ15" t="s">
        <v>1011</v>
      </c>
      <c r="AL15" t="s">
        <v>1013</v>
      </c>
    </row>
    <row r="16" spans="4:38" ht="13.5" thickBot="1">
      <c r="D16" s="22" t="s">
        <v>383</v>
      </c>
      <c r="E16" s="22" t="s">
        <v>99</v>
      </c>
      <c r="F16" s="24" t="s">
        <v>190</v>
      </c>
      <c r="G16" s="59"/>
      <c r="H16" s="53" t="s">
        <v>1119</v>
      </c>
      <c r="I16" s="59" t="s">
        <v>1003</v>
      </c>
      <c r="J16" s="59"/>
      <c r="K16" s="53" t="s">
        <v>1004</v>
      </c>
      <c r="L16" s="53" t="s">
        <v>889</v>
      </c>
      <c r="N16" s="53" t="s">
        <v>1119</v>
      </c>
      <c r="O16" s="53" t="s">
        <v>1003</v>
      </c>
      <c r="P16" s="48"/>
      <c r="Q16" s="48"/>
      <c r="R16" s="48"/>
      <c r="T16">
        <v>1</v>
      </c>
      <c r="U16">
        <v>0.11904761904761904</v>
      </c>
      <c r="V16">
        <v>-1.1797614123624593</v>
      </c>
      <c r="W16" t="s">
        <v>1006</v>
      </c>
      <c r="X16">
        <v>0.28</v>
      </c>
      <c r="Y16">
        <v>18.5</v>
      </c>
      <c r="Z16">
        <v>3.2</v>
      </c>
      <c r="AA16">
        <v>11.3</v>
      </c>
      <c r="AC16">
        <v>-0.5528419686577808</v>
      </c>
      <c r="AD16">
        <v>1.2671717284030137</v>
      </c>
      <c r="AE16">
        <v>0.505149978319906</v>
      </c>
      <c r="AF16">
        <v>1.0530784434834197</v>
      </c>
      <c r="AG16">
        <f>LOG(Y16)</f>
        <v>1.2671717284030137</v>
      </c>
      <c r="AJ16" t="s">
        <v>998</v>
      </c>
      <c r="AL16" t="s">
        <v>999</v>
      </c>
    </row>
    <row r="17" spans="4:38" ht="12.75">
      <c r="D17" s="23">
        <v>1</v>
      </c>
      <c r="E17" s="23">
        <f>(D17-3/8)/5.25</f>
        <v>0.11904761904761904</v>
      </c>
      <c r="F17" s="23">
        <f>NORMSINV(E17)</f>
        <v>-1.1797614123624593</v>
      </c>
      <c r="G17" s="54" t="s">
        <v>1006</v>
      </c>
      <c r="H17" s="54">
        <v>1.06</v>
      </c>
      <c r="I17" s="54">
        <v>98.2</v>
      </c>
      <c r="J17" s="54">
        <f>I17/H17</f>
        <v>92.64150943396226</v>
      </c>
      <c r="K17" s="54">
        <v>16.8</v>
      </c>
      <c r="L17" s="54">
        <v>15.9</v>
      </c>
      <c r="N17" s="54">
        <f aca="true" t="shared" si="0" ref="N17:O21">LOG(H17)</f>
        <v>0.02530586526477026</v>
      </c>
      <c r="O17" s="54">
        <f t="shared" si="0"/>
        <v>1.9921114877869497</v>
      </c>
      <c r="P17" s="23">
        <f aca="true" t="shared" si="1" ref="P17:Q21">LOG(K17)</f>
        <v>1.2253092817258628</v>
      </c>
      <c r="Q17" s="23">
        <f t="shared" si="1"/>
        <v>1.2013971243204515</v>
      </c>
      <c r="R17" s="23">
        <f>LOG(J17)</f>
        <v>1.9668056225221795</v>
      </c>
      <c r="T17">
        <v>2</v>
      </c>
      <c r="U17">
        <v>0.30952380952380953</v>
      </c>
      <c r="V17">
        <v>-0.49720055769908633</v>
      </c>
      <c r="W17" t="s">
        <v>1007</v>
      </c>
      <c r="X17">
        <v>0.95</v>
      </c>
      <c r="Y17">
        <v>98.2</v>
      </c>
      <c r="Z17">
        <v>16.8</v>
      </c>
      <c r="AA17">
        <v>15.9</v>
      </c>
      <c r="AC17">
        <v>-0.022276394711152253</v>
      </c>
      <c r="AD17">
        <v>1.9921114877869497</v>
      </c>
      <c r="AE17">
        <v>1.2253092817258628</v>
      </c>
      <c r="AF17">
        <v>1.20139712432045</v>
      </c>
      <c r="AG17">
        <f>LOG(Y17)</f>
        <v>1.9921114877869497</v>
      </c>
      <c r="AJ17">
        <v>80</v>
      </c>
      <c r="AL17" t="s">
        <v>1006</v>
      </c>
    </row>
    <row r="18" spans="4:38" ht="12.75">
      <c r="D18" s="23">
        <v>2</v>
      </c>
      <c r="E18" s="23">
        <f>(D18-3/8)/5.25</f>
        <v>0.30952380952380953</v>
      </c>
      <c r="F18" s="23">
        <f>NORMSINV(E18)</f>
        <v>-0.49720055769908633</v>
      </c>
      <c r="G18" s="62" t="s">
        <v>1007</v>
      </c>
      <c r="H18" s="54">
        <v>0.28</v>
      </c>
      <c r="I18" s="54">
        <v>18.5</v>
      </c>
      <c r="J18" s="54">
        <f>I18/H18</f>
        <v>66.07142857142857</v>
      </c>
      <c r="K18" s="54">
        <v>3.2</v>
      </c>
      <c r="L18" s="54">
        <v>11.3</v>
      </c>
      <c r="N18" s="54">
        <f t="shared" si="0"/>
        <v>-0.5528419686577808</v>
      </c>
      <c r="O18" s="54">
        <f t="shared" si="0"/>
        <v>1.2671717284030137</v>
      </c>
      <c r="P18" s="23">
        <f t="shared" si="1"/>
        <v>0.505149978319906</v>
      </c>
      <c r="Q18" s="23">
        <f t="shared" si="1"/>
        <v>1.0530784434834197</v>
      </c>
      <c r="R18" s="23">
        <f>LOG(J18)</f>
        <v>1.8200136970607945</v>
      </c>
      <c r="T18">
        <v>3</v>
      </c>
      <c r="U18">
        <v>0.5</v>
      </c>
      <c r="V18">
        <v>5.471417352459603E-10</v>
      </c>
      <c r="W18" t="s">
        <v>1008</v>
      </c>
      <c r="X18">
        <v>1.06</v>
      </c>
      <c r="Y18">
        <v>162.6</v>
      </c>
      <c r="Z18">
        <v>35.9</v>
      </c>
      <c r="AA18">
        <v>33.2</v>
      </c>
      <c r="AC18">
        <v>0.02530586526477026</v>
      </c>
      <c r="AD18">
        <v>2.2111205412580492</v>
      </c>
      <c r="AE18">
        <v>1.5550944485783191</v>
      </c>
      <c r="AF18">
        <v>1.5211380837040362</v>
      </c>
      <c r="AG18">
        <f>LOG(Y18)</f>
        <v>2.2111205412580492</v>
      </c>
      <c r="AJ18">
        <v>80</v>
      </c>
      <c r="AL18" t="s">
        <v>1014</v>
      </c>
    </row>
    <row r="19" spans="4:38" ht="12.75">
      <c r="D19" s="23">
        <v>3</v>
      </c>
      <c r="E19" s="23">
        <f>(D19-3/8)/5.25</f>
        <v>0.5</v>
      </c>
      <c r="F19" s="23">
        <f>NORMSINV(E19)</f>
        <v>5.471417352459603E-10</v>
      </c>
      <c r="G19" s="54" t="s">
        <v>1008</v>
      </c>
      <c r="H19" s="54">
        <v>1.08</v>
      </c>
      <c r="I19" s="54">
        <v>261.7</v>
      </c>
      <c r="J19" s="54">
        <f>I19/H19</f>
        <v>242.31481481481478</v>
      </c>
      <c r="K19" s="54">
        <v>35.9</v>
      </c>
      <c r="L19" s="54">
        <v>33.2</v>
      </c>
      <c r="N19" s="54">
        <f t="shared" si="0"/>
        <v>0.03342375548694973</v>
      </c>
      <c r="O19" s="54">
        <f t="shared" si="0"/>
        <v>2.417803722639881</v>
      </c>
      <c r="P19" s="23">
        <f t="shared" si="1"/>
        <v>1.5550944485783191</v>
      </c>
      <c r="Q19" s="23">
        <f t="shared" si="1"/>
        <v>1.5211380837040362</v>
      </c>
      <c r="R19" s="23">
        <f>LOG(J19)</f>
        <v>2.384379967152931</v>
      </c>
      <c r="T19">
        <v>4</v>
      </c>
      <c r="U19">
        <v>0.6904761904761905</v>
      </c>
      <c r="V19">
        <v>0.49720055769908567</v>
      </c>
      <c r="W19" t="s">
        <v>1009</v>
      </c>
      <c r="X19">
        <v>1.08</v>
      </c>
      <c r="Y19">
        <v>261.7</v>
      </c>
      <c r="Z19">
        <v>36.9</v>
      </c>
      <c r="AA19">
        <v>38.9</v>
      </c>
      <c r="AC19">
        <v>0.03342375548694973</v>
      </c>
      <c r="AD19">
        <v>2.417803722639881</v>
      </c>
      <c r="AE19">
        <v>1.5670263661590604</v>
      </c>
      <c r="AF19">
        <v>1.5899496013257077</v>
      </c>
      <c r="AG19">
        <f>LOG(Y19)</f>
        <v>2.417803722639881</v>
      </c>
      <c r="AJ19">
        <v>64</v>
      </c>
      <c r="AL19" t="s">
        <v>1007</v>
      </c>
    </row>
    <row r="20" spans="4:38" ht="12.75">
      <c r="D20" s="23">
        <v>4</v>
      </c>
      <c r="E20" s="23">
        <f>(D20-3/8)/5.25</f>
        <v>0.6904761904761905</v>
      </c>
      <c r="F20" s="23">
        <f>NORMSINV(E20)</f>
        <v>0.49720055769908567</v>
      </c>
      <c r="G20" s="54" t="s">
        <v>1009</v>
      </c>
      <c r="H20" s="54">
        <v>1.53</v>
      </c>
      <c r="I20" s="54">
        <v>532.9</v>
      </c>
      <c r="J20" s="54">
        <f>I20/H20</f>
        <v>348.30065359477123</v>
      </c>
      <c r="K20" s="54">
        <v>83.4</v>
      </c>
      <c r="L20" s="54">
        <v>54.5</v>
      </c>
      <c r="N20" s="54">
        <f t="shared" si="0"/>
        <v>0.1846914308175988</v>
      </c>
      <c r="O20" s="54">
        <f t="shared" si="0"/>
        <v>2.726645720240912</v>
      </c>
      <c r="P20" s="23">
        <f t="shared" si="1"/>
        <v>1.9211660506377388</v>
      </c>
      <c r="Q20" s="23">
        <f t="shared" si="1"/>
        <v>1.7363965022766426</v>
      </c>
      <c r="R20" s="23">
        <f>LOG(J20)</f>
        <v>2.541954289423313</v>
      </c>
      <c r="T20">
        <v>5</v>
      </c>
      <c r="U20">
        <v>0.8809523809523809</v>
      </c>
      <c r="V20">
        <v>1.1797614123624593</v>
      </c>
      <c r="W20" t="s">
        <v>1010</v>
      </c>
      <c r="X20">
        <v>1.53</v>
      </c>
      <c r="Y20">
        <v>532.9</v>
      </c>
      <c r="Z20">
        <v>83.4</v>
      </c>
      <c r="AA20">
        <v>54.5</v>
      </c>
      <c r="AC20">
        <v>0.1846914308175988</v>
      </c>
      <c r="AD20">
        <v>2.726645720240912</v>
      </c>
      <c r="AE20">
        <v>1.9211660506377388</v>
      </c>
      <c r="AF20">
        <v>1.7363965022766426</v>
      </c>
      <c r="AG20">
        <f>LOG(Y20)</f>
        <v>2.726645720240912</v>
      </c>
      <c r="AJ20">
        <v>73</v>
      </c>
      <c r="AL20" t="s">
        <v>1008</v>
      </c>
    </row>
    <row r="21" spans="4:38" ht="12.75">
      <c r="D21" s="23">
        <v>5</v>
      </c>
      <c r="E21" s="23">
        <f>(D21-3/8)/5.25</f>
        <v>0.8809523809523809</v>
      </c>
      <c r="F21" s="23">
        <f>NORMSINV(E21)</f>
        <v>1.1797614123624593</v>
      </c>
      <c r="G21" s="54" t="s">
        <v>1010</v>
      </c>
      <c r="H21" s="54">
        <v>0.95</v>
      </c>
      <c r="I21" s="54">
        <v>162.6</v>
      </c>
      <c r="J21" s="54">
        <f>I21/H21</f>
        <v>171.1578947368421</v>
      </c>
      <c r="K21" s="54">
        <v>36.9</v>
      </c>
      <c r="L21" s="54">
        <v>38.9</v>
      </c>
      <c r="N21" s="54">
        <f t="shared" si="0"/>
        <v>-0.022276394711152253</v>
      </c>
      <c r="O21" s="54">
        <f t="shared" si="0"/>
        <v>2.2111205412580492</v>
      </c>
      <c r="P21" s="23">
        <f t="shared" si="1"/>
        <v>1.5670263661590604</v>
      </c>
      <c r="Q21" s="23">
        <f t="shared" si="1"/>
        <v>1.5899496013257077</v>
      </c>
      <c r="R21" s="23">
        <f>LOG(J21)</f>
        <v>2.2333969359692016</v>
      </c>
      <c r="AJ21">
        <v>106</v>
      </c>
      <c r="AL21" t="s">
        <v>1015</v>
      </c>
    </row>
    <row r="23" spans="7:38" ht="12.75">
      <c r="G23" t="s">
        <v>134</v>
      </c>
      <c r="H23">
        <f>AVERAGE(H17:H21)</f>
        <v>0.9800000000000001</v>
      </c>
      <c r="I23">
        <f>AVERAGE(I17:I21)</f>
        <v>214.77999999999997</v>
      </c>
      <c r="J23">
        <f>AVERAGE(J17:J21)</f>
        <v>184.0972602303638</v>
      </c>
      <c r="K23">
        <f>AVERAGE(K17:K21)</f>
        <v>35.24</v>
      </c>
      <c r="L23">
        <f>AVERAGE(L17:L21)</f>
        <v>30.76</v>
      </c>
      <c r="M23" t="s">
        <v>134</v>
      </c>
      <c r="N23">
        <f>AVERAGE(N17:N21)</f>
        <v>-0.06633946235992283</v>
      </c>
      <c r="O23">
        <f>AVERAGE(O17:O21)</f>
        <v>2.1229706400657613</v>
      </c>
      <c r="P23">
        <f>AVERAGE(P17:P21)</f>
        <v>1.3547492250841775</v>
      </c>
      <c r="Q23">
        <f>AVERAGE(Q17:Q21)</f>
        <v>1.4203919510220515</v>
      </c>
      <c r="R23">
        <f>AVERAGE(R17:R21)</f>
        <v>2.189310102425684</v>
      </c>
      <c r="AL23" t="s">
        <v>1016</v>
      </c>
    </row>
    <row r="24" spans="7:38" ht="12.75">
      <c r="G24" t="s">
        <v>135</v>
      </c>
      <c r="H24">
        <f>STDEV(H17:H21)</f>
        <v>0.4499444410146655</v>
      </c>
      <c r="I24">
        <f>STDEV(I17:I21)</f>
        <v>198.89778027921784</v>
      </c>
      <c r="J24">
        <f>STDEV(J17:J21)</f>
        <v>114.90617534109252</v>
      </c>
      <c r="K24">
        <f>STDEV(K17:K21)</f>
        <v>30.369277238683182</v>
      </c>
      <c r="L24">
        <f>STDEV(L17:L21)</f>
        <v>17.573502781175975</v>
      </c>
      <c r="M24" t="s">
        <v>135</v>
      </c>
      <c r="N24" s="1">
        <f>STDEV(N17:N21)</f>
        <v>0.2828402011758679</v>
      </c>
      <c r="O24" s="1">
        <f>STDEV(O17:O21)</f>
        <v>0.5496900146953541</v>
      </c>
      <c r="P24" s="1">
        <f>STDEV(P17:P21)</f>
        <v>0.534930227344894</v>
      </c>
      <c r="Q24" s="1">
        <f>STDEV(Q17:Q21)</f>
        <v>0.2835649852251182</v>
      </c>
      <c r="R24" s="1">
        <f>STDEV(R17:R21)</f>
        <v>0.2959061938488162</v>
      </c>
      <c r="AL24" t="s">
        <v>1017</v>
      </c>
    </row>
    <row r="25" spans="7:38" ht="12.75">
      <c r="G25" t="s">
        <v>136</v>
      </c>
      <c r="H25">
        <f>COUNT(H17:H21)</f>
        <v>5</v>
      </c>
      <c r="I25">
        <f>COUNT(I17:I21)</f>
        <v>5</v>
      </c>
      <c r="J25">
        <f>COUNT(J17:J21)</f>
        <v>5</v>
      </c>
      <c r="K25">
        <f>COUNT(K17:K21)</f>
        <v>5</v>
      </c>
      <c r="L25">
        <f>COUNT(L17:L21)</f>
        <v>5</v>
      </c>
      <c r="M25" t="s">
        <v>136</v>
      </c>
      <c r="N25">
        <f>COUNT(N17:N21)</f>
        <v>5</v>
      </c>
      <c r="O25">
        <f>COUNT(O17:O21)</f>
        <v>5</v>
      </c>
      <c r="P25">
        <f>COUNT(P17:P21)</f>
        <v>5</v>
      </c>
      <c r="Q25">
        <f>COUNT(Q17:Q21)</f>
        <v>5</v>
      </c>
      <c r="R25">
        <f>COUNT(R17:R21)</f>
        <v>5</v>
      </c>
      <c r="AL25" t="s">
        <v>1018</v>
      </c>
    </row>
    <row r="26" spans="7:38" ht="12.75">
      <c r="G26" t="s">
        <v>137</v>
      </c>
      <c r="H26">
        <f>H24/(H25^0.5)</f>
        <v>0.2012212712413873</v>
      </c>
      <c r="I26">
        <f>I24/(I25^0.5)</f>
        <v>88.94979145562964</v>
      </c>
      <c r="J26">
        <f>J24/(J25^0.5)</f>
        <v>51.38760381943859</v>
      </c>
      <c r="K26">
        <f>K24/(K25^0.5)</f>
        <v>13.58155366664654</v>
      </c>
      <c r="L26">
        <f>L24/(L25^0.5)</f>
        <v>7.859109364298218</v>
      </c>
      <c r="M26" t="s">
        <v>137</v>
      </c>
      <c r="N26">
        <f>N24/(N25^0.5)</f>
        <v>0.1264899833197913</v>
      </c>
      <c r="O26">
        <f>O24/(O25^0.5)</f>
        <v>0.245828847882334</v>
      </c>
      <c r="P26">
        <f>P24/(P25^0.5)</f>
        <v>0.23922807031251997</v>
      </c>
      <c r="Q26">
        <f>Q24/(Q25^0.5)</f>
        <v>0.12681411660041755</v>
      </c>
      <c r="R26">
        <f>R24/(R25^0.5)</f>
        <v>0.13233327288183663</v>
      </c>
      <c r="AL26" t="s">
        <v>1009</v>
      </c>
    </row>
    <row r="27" spans="7:38" ht="12.75">
      <c r="G27" t="s">
        <v>138</v>
      </c>
      <c r="H27" s="1">
        <f>H24/H23</f>
        <v>0.4591269806272097</v>
      </c>
      <c r="I27" s="1">
        <f>I24/I23</f>
        <v>0.9260535444604613</v>
      </c>
      <c r="J27" s="1">
        <f>J24/J23</f>
        <v>0.6241601596748839</v>
      </c>
      <c r="K27" s="1">
        <f>K24/K23</f>
        <v>0.8617842576243808</v>
      </c>
      <c r="L27" s="1">
        <f>L24/L23</f>
        <v>0.5713102334582566</v>
      </c>
      <c r="N27" s="1"/>
      <c r="O27" s="1"/>
      <c r="P27" s="1"/>
      <c r="Q27" s="1"/>
      <c r="R27" s="1"/>
      <c r="AL27" t="s">
        <v>1010</v>
      </c>
    </row>
    <row r="28" ht="12.75">
      <c r="N28" s="1"/>
    </row>
  </sheetData>
  <printOptions/>
  <pageMargins left="0.75" right="0.75" top="1" bottom="1" header="0.5" footer="0.5"/>
  <pageSetup orientation="portrait"/>
  <drawing r:id="rId1"/>
</worksheet>
</file>

<file path=xl/worksheets/sheet27.xml><?xml version="1.0" encoding="utf-8"?>
<worksheet xmlns="http://schemas.openxmlformats.org/spreadsheetml/2006/main" xmlns:r="http://schemas.openxmlformats.org/officeDocument/2006/relationships">
  <dimension ref="A1:S21"/>
  <sheetViews>
    <sheetView workbookViewId="0" topLeftCell="F1">
      <selection activeCell="N9" sqref="N9:O11"/>
    </sheetView>
  </sheetViews>
  <sheetFormatPr defaultColWidth="9.140625" defaultRowHeight="12.75"/>
  <cols>
    <col min="1" max="4" width="8.8515625" style="0" customWidth="1"/>
    <col min="5" max="5" width="15.421875" style="0" customWidth="1"/>
    <col min="6" max="6" width="14.140625" style="0" customWidth="1"/>
    <col min="7" max="8" width="8.8515625" style="0" customWidth="1"/>
    <col min="9" max="9" width="33.28125" style="0" customWidth="1"/>
    <col min="10" max="11" width="8.8515625" style="0" customWidth="1"/>
    <col min="12" max="12" width="13.421875" style="0" customWidth="1"/>
    <col min="13" max="13" width="14.421875" style="0" customWidth="1"/>
    <col min="14" max="14" width="15.421875" style="0" customWidth="1"/>
    <col min="15" max="15" width="12.00390625" style="0" customWidth="1"/>
    <col min="16" max="16384" width="8.8515625" style="0" customWidth="1"/>
  </cols>
  <sheetData>
    <row r="1" spans="1:17" ht="72.75" customHeight="1">
      <c r="A1" s="7" t="s">
        <v>69</v>
      </c>
      <c r="B1" s="7" t="s">
        <v>57</v>
      </c>
      <c r="C1" s="7" t="s">
        <v>58</v>
      </c>
      <c r="D1" s="7" t="s">
        <v>59</v>
      </c>
      <c r="E1" s="7" t="s">
        <v>60</v>
      </c>
      <c r="F1" s="7" t="s">
        <v>92</v>
      </c>
      <c r="G1" s="7" t="s">
        <v>61</v>
      </c>
      <c r="H1" s="7" t="s">
        <v>62</v>
      </c>
      <c r="I1" s="7" t="s">
        <v>63</v>
      </c>
      <c r="J1" s="8" t="s">
        <v>64</v>
      </c>
      <c r="K1" s="8" t="s">
        <v>138</v>
      </c>
      <c r="L1" s="7" t="s">
        <v>1126</v>
      </c>
      <c r="M1" s="7" t="s">
        <v>1127</v>
      </c>
      <c r="N1" s="7" t="s">
        <v>66</v>
      </c>
      <c r="O1" s="7" t="s">
        <v>85</v>
      </c>
      <c r="P1" s="7" t="s">
        <v>67</v>
      </c>
      <c r="Q1" s="7" t="s">
        <v>68</v>
      </c>
    </row>
    <row r="2" spans="2:16" ht="12.75">
      <c r="B2" t="s">
        <v>1057</v>
      </c>
      <c r="E2" t="s">
        <v>997</v>
      </c>
      <c r="G2" t="s">
        <v>102</v>
      </c>
      <c r="I2" t="s">
        <v>996</v>
      </c>
      <c r="J2">
        <v>0.380955049040805</v>
      </c>
      <c r="K2">
        <v>1.2159111368378193</v>
      </c>
      <c r="L2" t="s">
        <v>931</v>
      </c>
      <c r="N2" t="s">
        <v>947</v>
      </c>
      <c r="O2">
        <v>0.654</v>
      </c>
      <c r="P2">
        <v>5</v>
      </c>
    </row>
    <row r="3" spans="2:16" ht="12.75">
      <c r="B3" t="s">
        <v>1057</v>
      </c>
      <c r="E3" t="s">
        <v>997</v>
      </c>
      <c r="G3" t="s">
        <v>102</v>
      </c>
      <c r="I3" t="s">
        <v>996</v>
      </c>
      <c r="J3">
        <v>0.21313218943141038</v>
      </c>
      <c r="K3">
        <v>0.406863120735502</v>
      </c>
      <c r="L3" t="s">
        <v>931</v>
      </c>
      <c r="N3" t="s">
        <v>107</v>
      </c>
      <c r="O3">
        <v>0.9527</v>
      </c>
      <c r="P3">
        <v>5</v>
      </c>
    </row>
    <row r="7" ht="12.75">
      <c r="E7" t="s">
        <v>988</v>
      </c>
    </row>
    <row r="8" spans="16:18" ht="12.75">
      <c r="P8" t="s">
        <v>1052</v>
      </c>
      <c r="R8" t="s">
        <v>1052</v>
      </c>
    </row>
    <row r="9" spans="5:19" ht="12.75">
      <c r="E9" t="s">
        <v>989</v>
      </c>
      <c r="F9" t="s">
        <v>990</v>
      </c>
      <c r="G9" t="s">
        <v>991</v>
      </c>
      <c r="H9" t="s">
        <v>992</v>
      </c>
      <c r="I9" t="s">
        <v>970</v>
      </c>
      <c r="K9" t="s">
        <v>926</v>
      </c>
      <c r="L9" t="s">
        <v>188</v>
      </c>
      <c r="N9" t="s">
        <v>99</v>
      </c>
      <c r="O9" t="s">
        <v>190</v>
      </c>
      <c r="P9" t="s">
        <v>926</v>
      </c>
      <c r="Q9" t="s">
        <v>188</v>
      </c>
      <c r="R9" t="s">
        <v>992</v>
      </c>
      <c r="S9" t="s">
        <v>970</v>
      </c>
    </row>
    <row r="10" spans="6:19" ht="12.75">
      <c r="F10" t="s">
        <v>993</v>
      </c>
      <c r="H10" t="s">
        <v>994</v>
      </c>
      <c r="I10" t="s">
        <v>995</v>
      </c>
      <c r="R10" t="s">
        <v>994</v>
      </c>
      <c r="S10" t="s">
        <v>995</v>
      </c>
    </row>
    <row r="11" spans="5:19" ht="12.75">
      <c r="E11">
        <v>15</v>
      </c>
      <c r="F11">
        <v>51</v>
      </c>
      <c r="G11" t="s">
        <v>982</v>
      </c>
      <c r="H11">
        <v>1644</v>
      </c>
      <c r="I11">
        <v>0.054</v>
      </c>
      <c r="K11">
        <f aca="true" t="shared" si="0" ref="K11:L15">LOG(H11)</f>
        <v>3.215901813204032</v>
      </c>
      <c r="L11">
        <f t="shared" si="0"/>
        <v>-1.2676062401770316</v>
      </c>
      <c r="M11">
        <v>1</v>
      </c>
      <c r="N11">
        <f>(M11-3/8)/5.25</f>
        <v>0.11904761904761904</v>
      </c>
      <c r="O11">
        <f>NORMSINV(N11)</f>
        <v>-1.1797614123624593</v>
      </c>
      <c r="P11">
        <v>3.1476763242410986</v>
      </c>
      <c r="Q11">
        <v>-1.744727494896694</v>
      </c>
      <c r="R11">
        <v>1405</v>
      </c>
      <c r="S11">
        <v>0.018</v>
      </c>
    </row>
    <row r="12" spans="5:19" ht="12.75">
      <c r="E12">
        <v>16</v>
      </c>
      <c r="F12">
        <v>25</v>
      </c>
      <c r="G12" t="s">
        <v>164</v>
      </c>
      <c r="H12">
        <v>1545</v>
      </c>
      <c r="I12">
        <v>0.04</v>
      </c>
      <c r="K12">
        <f t="shared" si="0"/>
        <v>3.1889284837608534</v>
      </c>
      <c r="L12">
        <f t="shared" si="0"/>
        <v>-1.3979400086720375</v>
      </c>
      <c r="M12">
        <v>2</v>
      </c>
      <c r="N12">
        <f>(M12-3/8)/5.25</f>
        <v>0.30952380952380953</v>
      </c>
      <c r="O12">
        <f>NORMSINV(N12)</f>
        <v>-0.49720055769908633</v>
      </c>
      <c r="P12">
        <v>3.1889284837608534</v>
      </c>
      <c r="Q12">
        <v>-1.3979400086720375</v>
      </c>
      <c r="R12">
        <v>1545</v>
      </c>
      <c r="S12">
        <v>0.04</v>
      </c>
    </row>
    <row r="13" spans="5:19" ht="12.75">
      <c r="E13">
        <v>22</v>
      </c>
      <c r="F13">
        <v>54</v>
      </c>
      <c r="G13" t="s">
        <v>164</v>
      </c>
      <c r="H13">
        <v>1405</v>
      </c>
      <c r="I13">
        <v>0.04</v>
      </c>
      <c r="K13">
        <f t="shared" si="0"/>
        <v>3.1476763242410986</v>
      </c>
      <c r="L13">
        <f t="shared" si="0"/>
        <v>-1.3979400086720375</v>
      </c>
      <c r="M13">
        <v>3</v>
      </c>
      <c r="N13">
        <f>(M13-3/8)/5.25</f>
        <v>0.5</v>
      </c>
      <c r="O13">
        <f>NORMSINV(N13)</f>
        <v>5.471417352459603E-10</v>
      </c>
      <c r="P13">
        <v>3.215901813204032</v>
      </c>
      <c r="Q13">
        <v>-1.3979400086720375</v>
      </c>
      <c r="R13">
        <v>1644</v>
      </c>
      <c r="S13">
        <v>0.04</v>
      </c>
    </row>
    <row r="14" spans="5:19" ht="12.75">
      <c r="E14">
        <v>24</v>
      </c>
      <c r="F14">
        <v>42</v>
      </c>
      <c r="G14" t="s">
        <v>164</v>
      </c>
      <c r="H14">
        <v>11315</v>
      </c>
      <c r="I14">
        <v>0.065</v>
      </c>
      <c r="K14">
        <f t="shared" si="0"/>
        <v>4.053654558290748</v>
      </c>
      <c r="L14">
        <f t="shared" si="0"/>
        <v>-1.1870866433571443</v>
      </c>
      <c r="M14">
        <v>4</v>
      </c>
      <c r="N14">
        <f>(M14-3/8)/5.25</f>
        <v>0.6904761904761905</v>
      </c>
      <c r="O14">
        <f>NORMSINV(N14)</f>
        <v>0.49720055769908567</v>
      </c>
      <c r="P14">
        <v>3.2835273648616936</v>
      </c>
      <c r="Q14">
        <v>-1.2676062401770316</v>
      </c>
      <c r="R14">
        <v>1921</v>
      </c>
      <c r="S14">
        <v>0.054</v>
      </c>
    </row>
    <row r="15" spans="5:19" ht="12.75">
      <c r="E15">
        <v>31</v>
      </c>
      <c r="F15">
        <v>73</v>
      </c>
      <c r="G15" t="s">
        <v>982</v>
      </c>
      <c r="H15">
        <v>1921</v>
      </c>
      <c r="I15">
        <v>0.018</v>
      </c>
      <c r="K15">
        <f t="shared" si="0"/>
        <v>3.2835273648616936</v>
      </c>
      <c r="L15">
        <f t="shared" si="0"/>
        <v>-1.744727494896694</v>
      </c>
      <c r="M15">
        <v>5</v>
      </c>
      <c r="N15">
        <f>(M15-3/8)/5.25</f>
        <v>0.8809523809523809</v>
      </c>
      <c r="O15">
        <f>NORMSINV(N15)</f>
        <v>1.1797614123624593</v>
      </c>
      <c r="P15">
        <v>4.053654558290748</v>
      </c>
      <c r="Q15">
        <v>-1.1870866433571443</v>
      </c>
      <c r="R15">
        <v>11315</v>
      </c>
      <c r="S15">
        <v>0.065</v>
      </c>
    </row>
    <row r="17" spans="7:12" ht="12.75">
      <c r="G17" t="s">
        <v>134</v>
      </c>
      <c r="H17">
        <f>AVERAGE(H11:H15)</f>
        <v>3566</v>
      </c>
      <c r="I17">
        <f>AVERAGE(I11:I15)</f>
        <v>0.0434</v>
      </c>
      <c r="K17">
        <f>AVERAGE(K11:K15)</f>
        <v>3.377937708871685</v>
      </c>
      <c r="L17">
        <f>AVERAGE(L11:L15)</f>
        <v>-1.3990600791549892</v>
      </c>
    </row>
    <row r="18" spans="7:12" ht="12.75">
      <c r="G18" t="s">
        <v>135</v>
      </c>
      <c r="H18">
        <f>STDEV(H11:H15)</f>
        <v>4335.939113963664</v>
      </c>
      <c r="I18">
        <f>STDEV(I11:I15)</f>
        <v>0.01765785943992079</v>
      </c>
      <c r="K18" s="1">
        <f>STDEV(K11:K15)</f>
        <v>0.380955049040805</v>
      </c>
      <c r="L18" s="1">
        <f>STDEV(L11:L15)</f>
        <v>0.21313218943141038</v>
      </c>
    </row>
    <row r="19" spans="7:12" ht="12.75">
      <c r="G19" t="s">
        <v>136</v>
      </c>
      <c r="H19">
        <f>COUNT(H11:H15)</f>
        <v>5</v>
      </c>
      <c r="I19">
        <f>COUNT(I11:I15)</f>
        <v>5</v>
      </c>
      <c r="K19">
        <f>COUNT(K11:K15)</f>
        <v>5</v>
      </c>
      <c r="L19">
        <f>COUNT(L11:L15)</f>
        <v>5</v>
      </c>
    </row>
    <row r="20" spans="7:12" ht="12.75">
      <c r="G20" t="s">
        <v>137</v>
      </c>
      <c r="H20">
        <f>H18/(H19^0.5)</f>
        <v>1939.0909210245918</v>
      </c>
      <c r="I20">
        <f>I18/(I19^0.5)</f>
        <v>0.007896834808959849</v>
      </c>
      <c r="K20">
        <f>K18/(K19^0.5)</f>
        <v>0.1703682772054012</v>
      </c>
      <c r="L20">
        <f>L18/(L19^0.5)</f>
        <v>0.09531561275239916</v>
      </c>
    </row>
    <row r="21" spans="7:9" ht="12.75">
      <c r="G21" t="s">
        <v>138</v>
      </c>
      <c r="H21" s="1">
        <f>H18/H17</f>
        <v>1.2159111368378193</v>
      </c>
      <c r="I21" s="1">
        <f>I18/I17</f>
        <v>0.406863120735502</v>
      </c>
    </row>
  </sheetData>
  <printOptions/>
  <pageMargins left="0.75" right="0.75" top="1" bottom="1" header="0.5" footer="0.5"/>
  <pageSetup orientation="portrait" paperSize="9"/>
  <drawing r:id="rId1"/>
</worksheet>
</file>

<file path=xl/worksheets/sheet28.xml><?xml version="1.0" encoding="utf-8"?>
<worksheet xmlns="http://schemas.openxmlformats.org/spreadsheetml/2006/main" xmlns:r="http://schemas.openxmlformats.org/officeDocument/2006/relationships">
  <dimension ref="A1:O26"/>
  <sheetViews>
    <sheetView workbookViewId="0" topLeftCell="A1">
      <selection activeCell="C22" sqref="C22:D26"/>
    </sheetView>
  </sheetViews>
  <sheetFormatPr defaultColWidth="9.140625" defaultRowHeight="12.75"/>
  <cols>
    <col min="1" max="2" width="8.8515625" style="0" customWidth="1"/>
    <col min="3" max="3" width="17.421875" style="0" customWidth="1"/>
    <col min="4" max="4" width="23.8515625" style="0" customWidth="1"/>
    <col min="5" max="11" width="8.8515625" style="0" customWidth="1"/>
    <col min="12" max="12" width="14.421875" style="0" customWidth="1"/>
    <col min="13" max="16384" width="8.8515625" style="0" customWidth="1"/>
  </cols>
  <sheetData>
    <row r="1" spans="1:15" ht="63.75">
      <c r="A1" s="7" t="s">
        <v>69</v>
      </c>
      <c r="B1" s="7" t="s">
        <v>57</v>
      </c>
      <c r="C1" s="7" t="s">
        <v>58</v>
      </c>
      <c r="D1" s="7" t="s">
        <v>59</v>
      </c>
      <c r="E1" s="7" t="s">
        <v>60</v>
      </c>
      <c r="F1" s="7" t="s">
        <v>92</v>
      </c>
      <c r="G1" s="7" t="s">
        <v>61</v>
      </c>
      <c r="H1" s="7" t="s">
        <v>62</v>
      </c>
      <c r="I1" s="7" t="s">
        <v>63</v>
      </c>
      <c r="J1" s="8" t="s">
        <v>64</v>
      </c>
      <c r="K1" s="8" t="s">
        <v>138</v>
      </c>
      <c r="L1" s="7" t="s">
        <v>65</v>
      </c>
      <c r="M1" s="7" t="s">
        <v>66</v>
      </c>
      <c r="N1" s="7" t="s">
        <v>85</v>
      </c>
      <c r="O1" s="7" t="s">
        <v>67</v>
      </c>
    </row>
    <row r="2" spans="2:14" ht="12.75">
      <c r="B2" t="s">
        <v>1056</v>
      </c>
      <c r="D2" t="s">
        <v>747</v>
      </c>
      <c r="E2" t="s">
        <v>746</v>
      </c>
      <c r="G2" t="s">
        <v>102</v>
      </c>
      <c r="H2" t="s">
        <v>94</v>
      </c>
      <c r="I2" t="s">
        <v>744</v>
      </c>
      <c r="J2">
        <v>0.6133689606063948</v>
      </c>
      <c r="K2" s="1">
        <v>0.9780752880932441</v>
      </c>
      <c r="L2" t="s">
        <v>745</v>
      </c>
      <c r="M2" t="s">
        <v>743</v>
      </c>
      <c r="N2">
        <v>0.92</v>
      </c>
    </row>
    <row r="5" spans="3:9" ht="12.75">
      <c r="C5" t="s">
        <v>875</v>
      </c>
      <c r="H5" t="s">
        <v>878</v>
      </c>
      <c r="I5" t="s">
        <v>879</v>
      </c>
    </row>
    <row r="6" spans="4:10" ht="12.75">
      <c r="D6" t="s">
        <v>873</v>
      </c>
      <c r="H6" t="s">
        <v>880</v>
      </c>
      <c r="I6" t="s">
        <v>881</v>
      </c>
      <c r="J6" t="s">
        <v>882</v>
      </c>
    </row>
    <row r="7" spans="3:9" ht="12.75">
      <c r="C7" t="s">
        <v>742</v>
      </c>
      <c r="D7" t="s">
        <v>874</v>
      </c>
      <c r="F7" t="s">
        <v>101</v>
      </c>
      <c r="H7" t="s">
        <v>99</v>
      </c>
      <c r="I7" t="s">
        <v>190</v>
      </c>
    </row>
    <row r="8" spans="3:12" ht="12.75">
      <c r="C8" t="s">
        <v>863</v>
      </c>
      <c r="D8">
        <v>0.081</v>
      </c>
      <c r="F8">
        <f>LOG(D8)</f>
        <v>-1.0915149811213503</v>
      </c>
      <c r="G8">
        <v>1</v>
      </c>
      <c r="H8">
        <f>(G8-3/8)/10.25</f>
        <v>0.06097560975609756</v>
      </c>
      <c r="I8">
        <f>NORMSINV(H8)</f>
        <v>-1.5466353865887528</v>
      </c>
      <c r="J8">
        <v>0.005</v>
      </c>
      <c r="L8">
        <v>-2.3010299956639813</v>
      </c>
    </row>
    <row r="9" spans="3:12" ht="12.75">
      <c r="C9" t="s">
        <v>864</v>
      </c>
      <c r="D9">
        <v>0.005</v>
      </c>
      <c r="F9">
        <f aca="true" t="shared" si="0" ref="F9:F17">LOG(D9)</f>
        <v>-2.3010299956639813</v>
      </c>
      <c r="G9">
        <v>2</v>
      </c>
      <c r="H9">
        <f aca="true" t="shared" si="1" ref="H9:H17">(G9-3/8)/10.25</f>
        <v>0.15853658536585366</v>
      </c>
      <c r="I9">
        <f aca="true" t="shared" si="2" ref="I9:I17">NORMSINV(H9)</f>
        <v>-1.0004905705059994</v>
      </c>
      <c r="J9">
        <v>0.007</v>
      </c>
      <c r="L9">
        <v>-2.154901959985743</v>
      </c>
    </row>
    <row r="10" spans="3:12" ht="12.75">
      <c r="C10" t="s">
        <v>865</v>
      </c>
      <c r="D10">
        <v>0.007</v>
      </c>
      <c r="F10">
        <f t="shared" si="0"/>
        <v>-2.154901959985743</v>
      </c>
      <c r="G10">
        <v>3</v>
      </c>
      <c r="H10">
        <f t="shared" si="1"/>
        <v>0.25609756097560976</v>
      </c>
      <c r="I10">
        <f t="shared" si="2"/>
        <v>-0.6554232932405997</v>
      </c>
      <c r="J10">
        <v>0.017</v>
      </c>
      <c r="L10">
        <v>-1.7695510786217261</v>
      </c>
    </row>
    <row r="11" spans="3:12" ht="12.75">
      <c r="C11" t="s">
        <v>866</v>
      </c>
      <c r="D11">
        <v>0.159</v>
      </c>
      <c r="F11">
        <f t="shared" si="0"/>
        <v>-0.7986028756795485</v>
      </c>
      <c r="G11">
        <v>4</v>
      </c>
      <c r="H11">
        <f t="shared" si="1"/>
        <v>0.35365853658536583</v>
      </c>
      <c r="I11">
        <f t="shared" si="2"/>
        <v>-0.3754619162230459</v>
      </c>
      <c r="J11">
        <v>0.047</v>
      </c>
      <c r="L11">
        <v>-1.3279021420642825</v>
      </c>
    </row>
    <row r="12" spans="3:12" ht="12.75">
      <c r="C12" t="s">
        <v>867</v>
      </c>
      <c r="D12">
        <v>0.169</v>
      </c>
      <c r="F12">
        <f t="shared" si="0"/>
        <v>-0.7721132953863264</v>
      </c>
      <c r="G12">
        <v>5</v>
      </c>
      <c r="H12">
        <f t="shared" si="1"/>
        <v>0.45121951219512196</v>
      </c>
      <c r="I12">
        <f t="shared" si="2"/>
        <v>-0.12258073716776852</v>
      </c>
      <c r="J12">
        <v>0.068</v>
      </c>
      <c r="L12">
        <v>-1.1674910872937636</v>
      </c>
    </row>
    <row r="13" spans="3:12" ht="12.75">
      <c r="C13" t="s">
        <v>868</v>
      </c>
      <c r="D13">
        <v>0.047</v>
      </c>
      <c r="F13">
        <f t="shared" si="0"/>
        <v>-1.3279021420642825</v>
      </c>
      <c r="G13">
        <v>6</v>
      </c>
      <c r="H13">
        <f t="shared" si="1"/>
        <v>0.5487804878048781</v>
      </c>
      <c r="I13">
        <f t="shared" si="2"/>
        <v>0.12258073716776852</v>
      </c>
      <c r="J13">
        <v>0.081</v>
      </c>
      <c r="L13">
        <v>-1.0915149811213503</v>
      </c>
    </row>
    <row r="14" spans="3:12" ht="12.75">
      <c r="C14" t="s">
        <v>869</v>
      </c>
      <c r="D14">
        <v>0.017</v>
      </c>
      <c r="F14">
        <f t="shared" si="0"/>
        <v>-1.7695510786217261</v>
      </c>
      <c r="G14">
        <v>7</v>
      </c>
      <c r="H14">
        <f t="shared" si="1"/>
        <v>0.6463414634146342</v>
      </c>
      <c r="I14">
        <f t="shared" si="2"/>
        <v>0.3754619162230459</v>
      </c>
      <c r="J14">
        <v>0.137</v>
      </c>
      <c r="L14">
        <v>-0.8632794328435932</v>
      </c>
    </row>
    <row r="15" spans="3:12" ht="12.75">
      <c r="C15" t="s">
        <v>870</v>
      </c>
      <c r="D15">
        <v>0.068</v>
      </c>
      <c r="F15">
        <f t="shared" si="0"/>
        <v>-1.1674910872937636</v>
      </c>
      <c r="G15">
        <v>8</v>
      </c>
      <c r="H15">
        <f t="shared" si="1"/>
        <v>0.7439024390243902</v>
      </c>
      <c r="I15">
        <f t="shared" si="2"/>
        <v>0.6554232932405992</v>
      </c>
      <c r="J15">
        <v>0.159</v>
      </c>
      <c r="L15">
        <v>-0.7986028756795485</v>
      </c>
    </row>
    <row r="16" spans="3:12" ht="12.75">
      <c r="C16" t="s">
        <v>871</v>
      </c>
      <c r="D16">
        <v>0.137</v>
      </c>
      <c r="F16">
        <f t="shared" si="0"/>
        <v>-0.8632794328435932</v>
      </c>
      <c r="G16">
        <v>9</v>
      </c>
      <c r="H16">
        <f t="shared" si="1"/>
        <v>0.8414634146341463</v>
      </c>
      <c r="I16">
        <f t="shared" si="2"/>
        <v>1.000490570505999</v>
      </c>
      <c r="J16">
        <v>0.169</v>
      </c>
      <c r="L16">
        <v>-0.7721132953863264</v>
      </c>
    </row>
    <row r="17" spans="3:12" ht="12.75">
      <c r="C17" t="s">
        <v>872</v>
      </c>
      <c r="D17">
        <v>0.324</v>
      </c>
      <c r="F17">
        <f t="shared" si="0"/>
        <v>-0.48945498979338786</v>
      </c>
      <c r="G17">
        <v>10</v>
      </c>
      <c r="H17">
        <f t="shared" si="1"/>
        <v>0.9390243902439024</v>
      </c>
      <c r="I17">
        <f t="shared" si="2"/>
        <v>1.5466353865887519</v>
      </c>
      <c r="J17">
        <v>0.324</v>
      </c>
      <c r="L17">
        <v>-0.48945498979338786</v>
      </c>
    </row>
    <row r="19" spans="3:4" ht="12.75">
      <c r="C19" t="s">
        <v>876</v>
      </c>
      <c r="D19">
        <v>0.166</v>
      </c>
    </row>
    <row r="20" spans="3:4" ht="12.75">
      <c r="C20" t="s">
        <v>877</v>
      </c>
      <c r="D20">
        <v>0.473</v>
      </c>
    </row>
    <row r="22" spans="3:6" ht="12.75">
      <c r="C22" t="s">
        <v>134</v>
      </c>
      <c r="D22">
        <f>AVERAGE(D8:D17)</f>
        <v>0.1014</v>
      </c>
      <c r="F22">
        <f>AVERAGE(F8:F17)</f>
        <v>-1.27358418384537</v>
      </c>
    </row>
    <row r="23" spans="3:6" ht="12.75">
      <c r="C23" t="s">
        <v>135</v>
      </c>
      <c r="D23">
        <f>STDEV(D8:D17)</f>
        <v>0.09917683421265495</v>
      </c>
      <c r="F23">
        <f>STDEV(F8:F17)</f>
        <v>0.6133689606063948</v>
      </c>
    </row>
    <row r="24" spans="3:6" ht="12.75">
      <c r="C24" t="s">
        <v>136</v>
      </c>
      <c r="D24">
        <f>COUNT(D8:D17)</f>
        <v>10</v>
      </c>
      <c r="F24">
        <f>COUNT(F8:F17)</f>
        <v>10</v>
      </c>
    </row>
    <row r="25" spans="3:6" ht="12.75">
      <c r="C25" t="s">
        <v>137</v>
      </c>
      <c r="D25">
        <f>(D23/D24^0.5)</f>
        <v>0.031362468723690175</v>
      </c>
      <c r="F25">
        <f>(F23/F24^0.5)</f>
        <v>0.19396429615663008</v>
      </c>
    </row>
    <row r="26" spans="3:4" ht="12.75">
      <c r="C26" t="s">
        <v>138</v>
      </c>
      <c r="D26" s="1">
        <f>D23/D22</f>
        <v>0.9780752880932441</v>
      </c>
    </row>
  </sheetData>
  <printOptions/>
  <pageMargins left="0.75" right="0.75" top="1" bottom="1" header="0.5" footer="0.5"/>
  <pageSetup orientation="portrait" paperSize="9"/>
  <drawing r:id="rId1"/>
</worksheet>
</file>

<file path=xl/worksheets/sheet29.xml><?xml version="1.0" encoding="utf-8"?>
<worksheet xmlns="http://schemas.openxmlformats.org/spreadsheetml/2006/main" xmlns:r="http://schemas.openxmlformats.org/officeDocument/2006/relationships">
  <dimension ref="A1:AR35"/>
  <sheetViews>
    <sheetView zoomScale="115" zoomScaleNormal="115" workbookViewId="0" topLeftCell="Z52">
      <selection activeCell="AR30" sqref="AP25:AR30"/>
    </sheetView>
  </sheetViews>
  <sheetFormatPr defaultColWidth="9.140625" defaultRowHeight="12.75"/>
  <cols>
    <col min="1" max="4" width="8.8515625" style="0" customWidth="1"/>
    <col min="5" max="5" width="20.421875" style="0" customWidth="1"/>
    <col min="6" max="6" width="15.421875" style="0" customWidth="1"/>
    <col min="7" max="11" width="8.8515625" style="0" customWidth="1"/>
    <col min="12" max="12" width="14.00390625" style="0" customWidth="1"/>
    <col min="13" max="13" width="13.421875" style="0" customWidth="1"/>
    <col min="14" max="14" width="11.140625" style="0" customWidth="1"/>
    <col min="15" max="16384" width="8.8515625" style="0" customWidth="1"/>
  </cols>
  <sheetData>
    <row r="1" spans="1:21" ht="63.75">
      <c r="A1" s="7" t="s">
        <v>69</v>
      </c>
      <c r="B1" s="7" t="s">
        <v>57</v>
      </c>
      <c r="C1" s="7" t="s">
        <v>58</v>
      </c>
      <c r="D1" s="7" t="s">
        <v>59</v>
      </c>
      <c r="E1" s="7" t="s">
        <v>60</v>
      </c>
      <c r="F1" s="7" t="s">
        <v>92</v>
      </c>
      <c r="G1" s="7" t="s">
        <v>61</v>
      </c>
      <c r="H1" s="7" t="s">
        <v>62</v>
      </c>
      <c r="I1" s="7" t="s">
        <v>63</v>
      </c>
      <c r="J1" s="8" t="s">
        <v>64</v>
      </c>
      <c r="K1" s="8" t="s">
        <v>138</v>
      </c>
      <c r="L1" s="7" t="s">
        <v>1126</v>
      </c>
      <c r="M1" s="7" t="s">
        <v>1127</v>
      </c>
      <c r="N1" s="7" t="s">
        <v>66</v>
      </c>
      <c r="O1" s="7" t="s">
        <v>85</v>
      </c>
      <c r="P1" s="7" t="s">
        <v>67</v>
      </c>
      <c r="Q1" s="7" t="s">
        <v>68</v>
      </c>
      <c r="R1" s="10"/>
      <c r="S1" s="10"/>
      <c r="T1" s="10"/>
      <c r="U1" s="10"/>
    </row>
    <row r="2" spans="2:16" ht="12.75">
      <c r="B2" s="12" t="s">
        <v>1055</v>
      </c>
      <c r="D2" t="s">
        <v>841</v>
      </c>
      <c r="E2" t="s">
        <v>842</v>
      </c>
      <c r="G2" t="s">
        <v>102</v>
      </c>
      <c r="H2" t="s">
        <v>94</v>
      </c>
      <c r="I2" t="s">
        <v>850</v>
      </c>
      <c r="J2">
        <v>1.069676873278055</v>
      </c>
      <c r="K2">
        <v>0.6850170174398632</v>
      </c>
      <c r="L2" t="s">
        <v>87</v>
      </c>
      <c r="N2" t="s">
        <v>862</v>
      </c>
      <c r="O2">
        <v>0.9665</v>
      </c>
      <c r="P2">
        <v>20</v>
      </c>
    </row>
    <row r="3" spans="2:16" ht="12.75">
      <c r="B3" s="12" t="s">
        <v>1055</v>
      </c>
      <c r="D3" t="s">
        <v>854</v>
      </c>
      <c r="E3" t="s">
        <v>842</v>
      </c>
      <c r="G3" t="s">
        <v>102</v>
      </c>
      <c r="H3" t="s">
        <v>94</v>
      </c>
      <c r="I3" t="s">
        <v>851</v>
      </c>
      <c r="J3">
        <v>0.09254650016411742</v>
      </c>
      <c r="K3">
        <v>0.2185115177030926</v>
      </c>
      <c r="L3" t="s">
        <v>87</v>
      </c>
      <c r="N3" t="s">
        <v>95</v>
      </c>
      <c r="O3">
        <v>0.9822</v>
      </c>
      <c r="P3">
        <v>7</v>
      </c>
    </row>
    <row r="4" spans="2:16" ht="12.75">
      <c r="B4" s="12" t="s">
        <v>1055</v>
      </c>
      <c r="D4" t="s">
        <v>855</v>
      </c>
      <c r="E4" t="s">
        <v>842</v>
      </c>
      <c r="G4" t="s">
        <v>102</v>
      </c>
      <c r="H4" t="s">
        <v>94</v>
      </c>
      <c r="I4" t="s">
        <v>852</v>
      </c>
      <c r="J4">
        <v>0.5677498789803554</v>
      </c>
      <c r="K4">
        <v>1.4427990148786045</v>
      </c>
      <c r="L4" t="s">
        <v>87</v>
      </c>
      <c r="N4" t="s">
        <v>95</v>
      </c>
      <c r="O4">
        <v>0.9356</v>
      </c>
      <c r="P4">
        <v>7</v>
      </c>
    </row>
    <row r="6" spans="3:41" ht="12.75">
      <c r="C6" t="s">
        <v>450</v>
      </c>
      <c r="F6" t="s">
        <v>853</v>
      </c>
      <c r="AA6" t="s">
        <v>1039</v>
      </c>
      <c r="AG6" t="s">
        <v>816</v>
      </c>
      <c r="AM6" s="52" t="s">
        <v>188</v>
      </c>
      <c r="AN6" s="52" t="s">
        <v>191</v>
      </c>
      <c r="AO6" s="52" t="s">
        <v>922</v>
      </c>
    </row>
    <row r="7" spans="27:41" ht="13.5" thickBot="1">
      <c r="AA7" t="s">
        <v>1040</v>
      </c>
      <c r="AB7" t="s">
        <v>1041</v>
      </c>
      <c r="AC7" t="s">
        <v>1042</v>
      </c>
      <c r="AD7" t="s">
        <v>331</v>
      </c>
      <c r="AE7" t="s">
        <v>1043</v>
      </c>
      <c r="AG7" t="s">
        <v>1040</v>
      </c>
      <c r="AH7" t="s">
        <v>1041</v>
      </c>
      <c r="AI7" t="s">
        <v>1042</v>
      </c>
      <c r="AJ7" t="s">
        <v>331</v>
      </c>
      <c r="AK7" t="s">
        <v>1043</v>
      </c>
      <c r="AM7" s="53" t="s">
        <v>845</v>
      </c>
      <c r="AN7" s="59" t="s">
        <v>1119</v>
      </c>
      <c r="AO7" s="59"/>
    </row>
    <row r="8" spans="3:41" ht="12.75">
      <c r="C8" s="46" t="s">
        <v>843</v>
      </c>
      <c r="D8" s="52" t="s">
        <v>970</v>
      </c>
      <c r="E8" s="52" t="s">
        <v>971</v>
      </c>
      <c r="F8" s="52" t="s">
        <v>844</v>
      </c>
      <c r="I8" s="52" t="s">
        <v>188</v>
      </c>
      <c r="J8" s="52" t="s">
        <v>191</v>
      </c>
      <c r="K8" s="52" t="s">
        <v>922</v>
      </c>
      <c r="M8" t="s">
        <v>846</v>
      </c>
      <c r="N8" t="s">
        <v>847</v>
      </c>
      <c r="O8" t="s">
        <v>848</v>
      </c>
      <c r="P8" t="s">
        <v>849</v>
      </c>
      <c r="R8" t="s">
        <v>970</v>
      </c>
      <c r="S8" t="s">
        <v>971</v>
      </c>
      <c r="T8" t="s">
        <v>844</v>
      </c>
      <c r="V8" t="s">
        <v>188</v>
      </c>
      <c r="W8" t="s">
        <v>191</v>
      </c>
      <c r="X8" t="s">
        <v>922</v>
      </c>
      <c r="Z8">
        <v>1</v>
      </c>
      <c r="AA8">
        <v>0.2</v>
      </c>
      <c r="AB8">
        <v>0.8</v>
      </c>
      <c r="AC8">
        <v>1.3</v>
      </c>
      <c r="AD8">
        <v>0.3</v>
      </c>
      <c r="AE8">
        <v>0.3</v>
      </c>
      <c r="AG8">
        <f>LOG(AA8)</f>
        <v>-0.6989700043360187</v>
      </c>
      <c r="AH8">
        <f>LOG(AB8)</f>
        <v>-0.09691001300805639</v>
      </c>
      <c r="AI8">
        <f>LOG(AC8)</f>
        <v>0.11394335230683679</v>
      </c>
      <c r="AJ8">
        <f>LOG(AD8)</f>
        <v>-0.5228787452803376</v>
      </c>
      <c r="AK8">
        <f>LOG(AE8)</f>
        <v>-0.5228787452803376</v>
      </c>
      <c r="AM8" s="54">
        <v>1.9849771264154934</v>
      </c>
      <c r="AN8" s="54">
        <v>2.0170333392987803</v>
      </c>
      <c r="AO8" s="54">
        <v>-0.3010299956639812</v>
      </c>
    </row>
    <row r="9" spans="3:41" ht="13.5" thickBot="1">
      <c r="C9" s="48"/>
      <c r="D9" s="53" t="s">
        <v>845</v>
      </c>
      <c r="E9" s="53" t="s">
        <v>1119</v>
      </c>
      <c r="F9" s="53" t="s">
        <v>975</v>
      </c>
      <c r="I9" s="53" t="s">
        <v>845</v>
      </c>
      <c r="J9" s="59" t="s">
        <v>1119</v>
      </c>
      <c r="K9" s="59"/>
      <c r="R9" t="s">
        <v>845</v>
      </c>
      <c r="S9" t="s">
        <v>1119</v>
      </c>
      <c r="T9" t="s">
        <v>975</v>
      </c>
      <c r="Z9">
        <v>2</v>
      </c>
      <c r="AA9">
        <v>0.1</v>
      </c>
      <c r="AB9">
        <v>1.4</v>
      </c>
      <c r="AC9">
        <v>0.5</v>
      </c>
      <c r="AD9">
        <v>0.2</v>
      </c>
      <c r="AE9">
        <v>0.3</v>
      </c>
      <c r="AG9">
        <f aca="true" t="shared" si="0" ref="AG9:AG27">LOG(AA9)</f>
        <v>-1</v>
      </c>
      <c r="AH9">
        <f aca="true" t="shared" si="1" ref="AH9:AH27">LOG(AB9)</f>
        <v>0.146128035678238</v>
      </c>
      <c r="AI9">
        <f aca="true" t="shared" si="2" ref="AI9:AI27">LOG(AC9)</f>
        <v>-0.3010299956639812</v>
      </c>
      <c r="AJ9">
        <f aca="true" t="shared" si="3" ref="AJ9:AJ27">LOG(AD9)</f>
        <v>-0.6989700043360187</v>
      </c>
      <c r="AK9">
        <f aca="true" t="shared" si="4" ref="AK9:AK27">LOG(AE9)</f>
        <v>-0.5228787452803376</v>
      </c>
      <c r="AM9" s="54">
        <v>1.801403710017355</v>
      </c>
      <c r="AN9" s="54">
        <v>2.187520720836463</v>
      </c>
      <c r="AO9" s="54">
        <v>-1.6020599913279623</v>
      </c>
    </row>
    <row r="10" spans="3:41" ht="12.75">
      <c r="C10" s="23">
        <v>1</v>
      </c>
      <c r="D10" s="54">
        <v>96.6</v>
      </c>
      <c r="E10" s="54">
        <v>104</v>
      </c>
      <c r="F10" s="54">
        <v>0.5</v>
      </c>
      <c r="I10" s="54">
        <f>LOG(D10)</f>
        <v>1.9849771264154934</v>
      </c>
      <c r="J10" s="54">
        <f>LOG(E10)</f>
        <v>2.0170333392987803</v>
      </c>
      <c r="K10" s="54">
        <f>LOG(F10)</f>
        <v>-0.3010299956639812</v>
      </c>
      <c r="M10">
        <f>(C10-3/8)/20.25</f>
        <v>0.030864197530864196</v>
      </c>
      <c r="N10">
        <f aca="true" t="shared" si="5" ref="N10:N29">NORMSINV(M10)</f>
        <v>-1.868240738682386</v>
      </c>
      <c r="O10">
        <f>(C10-3/8)/7.25</f>
        <v>0.08620689655172414</v>
      </c>
      <c r="P10">
        <f aca="true" t="shared" si="6" ref="P10:P16">NORMSINV(O10)</f>
        <v>-1.3644891184141348</v>
      </c>
      <c r="R10">
        <v>0.016</v>
      </c>
      <c r="S10">
        <v>81</v>
      </c>
      <c r="T10">
        <v>0.01</v>
      </c>
      <c r="V10">
        <v>-1.7958800173440752</v>
      </c>
      <c r="W10">
        <v>1.9084850188786497</v>
      </c>
      <c r="X10">
        <v>-2</v>
      </c>
      <c r="Z10">
        <v>3</v>
      </c>
      <c r="AA10">
        <v>0</v>
      </c>
      <c r="AB10">
        <v>0.5</v>
      </c>
      <c r="AC10">
        <v>0.1</v>
      </c>
      <c r="AD10">
        <v>0</v>
      </c>
      <c r="AE10">
        <v>0.3</v>
      </c>
      <c r="AH10">
        <f t="shared" si="1"/>
        <v>-0.3010299956639812</v>
      </c>
      <c r="AI10">
        <f t="shared" si="2"/>
        <v>-1</v>
      </c>
      <c r="AK10">
        <f t="shared" si="4"/>
        <v>-0.5228787452803376</v>
      </c>
      <c r="AM10" s="54">
        <v>1.4771212547196624</v>
      </c>
      <c r="AN10" s="54">
        <v>1.9590413923210936</v>
      </c>
      <c r="AO10" s="54">
        <v>-1.6989700043360187</v>
      </c>
    </row>
    <row r="11" spans="3:41" ht="12.75">
      <c r="C11" s="23">
        <v>2</v>
      </c>
      <c r="D11" s="54">
        <v>63.3</v>
      </c>
      <c r="E11" s="54">
        <v>154</v>
      </c>
      <c r="F11" s="54">
        <v>0.025</v>
      </c>
      <c r="I11" s="54">
        <f aca="true" t="shared" si="7" ref="I11:I29">LOG(D11)</f>
        <v>1.801403710017355</v>
      </c>
      <c r="J11" s="54">
        <f aca="true" t="shared" si="8" ref="J11:J16">LOG(E11)</f>
        <v>2.187520720836463</v>
      </c>
      <c r="K11" s="54">
        <f aca="true" t="shared" si="9" ref="K11:K16">LOG(F11)</f>
        <v>-1.6020599913279623</v>
      </c>
      <c r="M11">
        <f aca="true" t="shared" si="10" ref="M11:M29">(C11-3/8)/20.25</f>
        <v>0.08024691358024691</v>
      </c>
      <c r="N11">
        <f t="shared" si="5"/>
        <v>-1.403412980414076</v>
      </c>
      <c r="O11">
        <f aca="true" t="shared" si="11" ref="O11:O16">(C11-3/8)/7.25</f>
        <v>0.22413793103448276</v>
      </c>
      <c r="P11">
        <f t="shared" si="6"/>
        <v>-0.7582923171747475</v>
      </c>
      <c r="R11">
        <v>0.16</v>
      </c>
      <c r="S11">
        <v>91</v>
      </c>
      <c r="T11">
        <v>0.02</v>
      </c>
      <c r="V11">
        <v>-0.7958800173440752</v>
      </c>
      <c r="W11">
        <v>1.9590413923210936</v>
      </c>
      <c r="X11">
        <v>-1.6989700043360187</v>
      </c>
      <c r="Z11">
        <v>4</v>
      </c>
      <c r="AA11">
        <v>0.1</v>
      </c>
      <c r="AB11">
        <v>0.9</v>
      </c>
      <c r="AC11">
        <v>0.5</v>
      </c>
      <c r="AD11">
        <v>0.4</v>
      </c>
      <c r="AE11">
        <v>0.9</v>
      </c>
      <c r="AG11">
        <f t="shared" si="0"/>
        <v>-1</v>
      </c>
      <c r="AH11">
        <f t="shared" si="1"/>
        <v>-0.045757490560675115</v>
      </c>
      <c r="AI11">
        <f t="shared" si="2"/>
        <v>-0.3010299956639812</v>
      </c>
      <c r="AJ11">
        <f t="shared" si="3"/>
        <v>-0.3979400086720376</v>
      </c>
      <c r="AK11">
        <f t="shared" si="4"/>
        <v>-0.045757490560675115</v>
      </c>
      <c r="AM11" s="54">
        <v>2.2041199826559246</v>
      </c>
      <c r="AN11" s="54">
        <v>1.9084850188786497</v>
      </c>
      <c r="AO11" s="54">
        <v>-1</v>
      </c>
    </row>
    <row r="12" spans="3:41" ht="12.75">
      <c r="C12" s="23">
        <v>3</v>
      </c>
      <c r="D12" s="54">
        <v>30</v>
      </c>
      <c r="E12" s="54">
        <v>91</v>
      </c>
      <c r="F12" s="54">
        <v>0.02</v>
      </c>
      <c r="I12" s="54">
        <f t="shared" si="7"/>
        <v>1.4771212547196624</v>
      </c>
      <c r="J12" s="54">
        <f t="shared" si="8"/>
        <v>1.9590413923210936</v>
      </c>
      <c r="K12" s="54">
        <f t="shared" si="9"/>
        <v>-1.6989700043360187</v>
      </c>
      <c r="M12">
        <f t="shared" si="10"/>
        <v>0.12962962962962962</v>
      </c>
      <c r="N12">
        <f t="shared" si="5"/>
        <v>-1.1281438731534634</v>
      </c>
      <c r="O12">
        <f t="shared" si="11"/>
        <v>0.3620689655172414</v>
      </c>
      <c r="P12">
        <f t="shared" si="6"/>
        <v>-0.35293414775917087</v>
      </c>
      <c r="R12">
        <v>19.5</v>
      </c>
      <c r="S12">
        <v>104</v>
      </c>
      <c r="T12">
        <v>0.025</v>
      </c>
      <c r="V12">
        <v>1.290034611362518</v>
      </c>
      <c r="W12">
        <v>2.0170333392987803</v>
      </c>
      <c r="X12">
        <v>-1.6020599913279623</v>
      </c>
      <c r="Z12">
        <v>5</v>
      </c>
      <c r="AA12">
        <v>0.7</v>
      </c>
      <c r="AB12">
        <v>1.2</v>
      </c>
      <c r="AC12">
        <v>0.8</v>
      </c>
      <c r="AD12">
        <v>0.3</v>
      </c>
      <c r="AE12">
        <v>0.7</v>
      </c>
      <c r="AG12">
        <f t="shared" si="0"/>
        <v>-0.1549019599857432</v>
      </c>
      <c r="AH12">
        <f t="shared" si="1"/>
        <v>0.07918124604762482</v>
      </c>
      <c r="AI12">
        <f t="shared" si="2"/>
        <v>-0.09691001300805639</v>
      </c>
      <c r="AJ12">
        <f t="shared" si="3"/>
        <v>-0.5228787452803376</v>
      </c>
      <c r="AK12">
        <f t="shared" si="4"/>
        <v>-0.1549019599857432</v>
      </c>
      <c r="AM12" s="54">
        <v>2.2174839442139063</v>
      </c>
      <c r="AN12" s="54">
        <v>2.0211892990699383</v>
      </c>
      <c r="AO12" s="54">
        <v>-1.0457574905606752</v>
      </c>
    </row>
    <row r="13" spans="3:41" ht="12.75">
      <c r="C13" s="23">
        <v>4</v>
      </c>
      <c r="D13" s="54">
        <v>160</v>
      </c>
      <c r="E13" s="54">
        <v>81</v>
      </c>
      <c r="F13" s="54">
        <v>0.1</v>
      </c>
      <c r="I13" s="54">
        <f t="shared" si="7"/>
        <v>2.2041199826559246</v>
      </c>
      <c r="J13" s="54">
        <f t="shared" si="8"/>
        <v>1.9084850188786497</v>
      </c>
      <c r="K13" s="54">
        <f t="shared" si="9"/>
        <v>-1</v>
      </c>
      <c r="M13">
        <f t="shared" si="10"/>
        <v>0.17901234567901234</v>
      </c>
      <c r="N13">
        <f t="shared" si="5"/>
        <v>-0.9191354215450902</v>
      </c>
      <c r="O13">
        <f t="shared" si="11"/>
        <v>0.5</v>
      </c>
      <c r="P13">
        <f t="shared" si="6"/>
        <v>5.471417352459603E-10</v>
      </c>
      <c r="R13">
        <v>30</v>
      </c>
      <c r="S13">
        <v>105</v>
      </c>
      <c r="T13">
        <v>0.09</v>
      </c>
      <c r="V13">
        <v>1.4771212547196624</v>
      </c>
      <c r="W13">
        <v>2.0211892990699383</v>
      </c>
      <c r="X13">
        <v>-1.0457574905606752</v>
      </c>
      <c r="Z13">
        <v>6</v>
      </c>
      <c r="AA13">
        <v>0</v>
      </c>
      <c r="AB13">
        <v>0.5</v>
      </c>
      <c r="AC13">
        <v>1.2</v>
      </c>
      <c r="AD13">
        <v>0.3</v>
      </c>
      <c r="AE13">
        <v>0.5</v>
      </c>
      <c r="AH13">
        <f t="shared" si="1"/>
        <v>-0.3010299956639812</v>
      </c>
      <c r="AI13">
        <f t="shared" si="2"/>
        <v>0.07918124604762482</v>
      </c>
      <c r="AJ13">
        <f t="shared" si="3"/>
        <v>-0.5228787452803376</v>
      </c>
      <c r="AK13">
        <f t="shared" si="4"/>
        <v>-0.3010299956639812</v>
      </c>
      <c r="AM13" s="54">
        <v>1.290034611362518</v>
      </c>
      <c r="AN13" s="54">
        <v>2.060697840353612</v>
      </c>
      <c r="AO13" s="54">
        <v>-2</v>
      </c>
    </row>
    <row r="14" spans="3:41" ht="12.75">
      <c r="C14" s="23">
        <v>5</v>
      </c>
      <c r="D14" s="54">
        <v>165</v>
      </c>
      <c r="E14" s="54">
        <v>105</v>
      </c>
      <c r="F14" s="54">
        <v>0.09</v>
      </c>
      <c r="I14" s="54">
        <f t="shared" si="7"/>
        <v>2.2174839442139063</v>
      </c>
      <c r="J14" s="54">
        <f t="shared" si="8"/>
        <v>2.0211892990699383</v>
      </c>
      <c r="K14" s="54">
        <f t="shared" si="9"/>
        <v>-1.0457574905606752</v>
      </c>
      <c r="M14">
        <f t="shared" si="10"/>
        <v>0.22839506172839505</v>
      </c>
      <c r="N14">
        <f t="shared" si="5"/>
        <v>-0.7441425003572018</v>
      </c>
      <c r="O14">
        <f t="shared" si="11"/>
        <v>0.6379310344827587</v>
      </c>
      <c r="P14">
        <f t="shared" si="6"/>
        <v>0.35293414775917087</v>
      </c>
      <c r="R14">
        <v>41.7</v>
      </c>
      <c r="S14">
        <v>115</v>
      </c>
      <c r="T14">
        <v>0.09</v>
      </c>
      <c r="V14">
        <v>1.6201360549737576</v>
      </c>
      <c r="W14">
        <v>2.060697840353612</v>
      </c>
      <c r="X14">
        <v>-1.0457574905606752</v>
      </c>
      <c r="Z14">
        <v>7</v>
      </c>
      <c r="AA14">
        <v>2.8</v>
      </c>
      <c r="AB14">
        <v>0.1</v>
      </c>
      <c r="AC14">
        <v>1.1</v>
      </c>
      <c r="AD14">
        <v>0.2</v>
      </c>
      <c r="AE14">
        <v>1.2</v>
      </c>
      <c r="AG14">
        <f t="shared" si="0"/>
        <v>0.4471580313422192</v>
      </c>
      <c r="AH14">
        <f t="shared" si="1"/>
        <v>-1</v>
      </c>
      <c r="AI14">
        <f t="shared" si="2"/>
        <v>0.04139268515822508</v>
      </c>
      <c r="AJ14">
        <f t="shared" si="3"/>
        <v>-0.6989700043360187</v>
      </c>
      <c r="AK14">
        <f t="shared" si="4"/>
        <v>0.07918124604762482</v>
      </c>
      <c r="AM14" s="54">
        <v>2.3047058982127653</v>
      </c>
      <c r="AN14" s="54">
        <v>2.1072099696478683</v>
      </c>
      <c r="AO14" s="54">
        <v>-1.0457574905606752</v>
      </c>
    </row>
    <row r="15" spans="3:41" ht="12.75">
      <c r="C15" s="23">
        <v>6</v>
      </c>
      <c r="D15" s="54">
        <v>19.5</v>
      </c>
      <c r="E15" s="54">
        <v>115</v>
      </c>
      <c r="F15" s="54">
        <v>0.01</v>
      </c>
      <c r="I15" s="54">
        <f t="shared" si="7"/>
        <v>1.290034611362518</v>
      </c>
      <c r="J15" s="54">
        <f t="shared" si="8"/>
        <v>2.060697840353612</v>
      </c>
      <c r="K15" s="54">
        <f t="shared" si="9"/>
        <v>-2</v>
      </c>
      <c r="M15">
        <f t="shared" si="10"/>
        <v>0.2777777777777778</v>
      </c>
      <c r="N15">
        <f t="shared" si="5"/>
        <v>-0.5894556520801435</v>
      </c>
      <c r="O15">
        <f t="shared" si="11"/>
        <v>0.7758620689655172</v>
      </c>
      <c r="P15">
        <f t="shared" si="6"/>
        <v>0.7582923171747475</v>
      </c>
      <c r="R15">
        <v>63.3</v>
      </c>
      <c r="S15">
        <v>128</v>
      </c>
      <c r="T15">
        <v>0.1</v>
      </c>
      <c r="V15">
        <v>1.801403710017355</v>
      </c>
      <c r="W15">
        <v>2.1072099696478683</v>
      </c>
      <c r="X15">
        <v>-1</v>
      </c>
      <c r="Z15">
        <v>8</v>
      </c>
      <c r="AA15">
        <v>0</v>
      </c>
      <c r="AB15">
        <v>0.3</v>
      </c>
      <c r="AC15">
        <v>1.7</v>
      </c>
      <c r="AD15">
        <v>0.2</v>
      </c>
      <c r="AE15">
        <v>0.4</v>
      </c>
      <c r="AH15">
        <f t="shared" si="1"/>
        <v>-0.5228787452803376</v>
      </c>
      <c r="AI15">
        <f t="shared" si="2"/>
        <v>0.2304489213782739</v>
      </c>
      <c r="AJ15">
        <f t="shared" si="3"/>
        <v>-0.6989700043360187</v>
      </c>
      <c r="AK15">
        <f t="shared" si="4"/>
        <v>-0.3979400086720376</v>
      </c>
      <c r="AM15" s="54">
        <v>-1.7958800173440752</v>
      </c>
      <c r="AN15" s="54"/>
      <c r="AO15" s="54"/>
    </row>
    <row r="16" spans="3:41" ht="12.75">
      <c r="C16" s="23">
        <v>7</v>
      </c>
      <c r="D16" s="54">
        <v>201.7</v>
      </c>
      <c r="E16" s="54">
        <v>128</v>
      </c>
      <c r="F16" s="54">
        <v>0.09</v>
      </c>
      <c r="I16" s="54">
        <f t="shared" si="7"/>
        <v>2.3047058982127653</v>
      </c>
      <c r="J16" s="54">
        <f t="shared" si="8"/>
        <v>2.1072099696478683</v>
      </c>
      <c r="K16" s="54">
        <f t="shared" si="9"/>
        <v>-1.0457574905606752</v>
      </c>
      <c r="M16">
        <f t="shared" si="10"/>
        <v>0.3271604938271605</v>
      </c>
      <c r="N16">
        <f t="shared" si="5"/>
        <v>-0.44776757974978787</v>
      </c>
      <c r="O16">
        <f t="shared" si="11"/>
        <v>0.9137931034482759</v>
      </c>
      <c r="P16">
        <f t="shared" si="6"/>
        <v>1.3644891184141348</v>
      </c>
      <c r="R16">
        <v>70.8</v>
      </c>
      <c r="S16">
        <v>154</v>
      </c>
      <c r="T16">
        <v>0.5</v>
      </c>
      <c r="V16">
        <v>1.850033257689769</v>
      </c>
      <c r="W16">
        <v>2.187520720836463</v>
      </c>
      <c r="X16">
        <v>-0.3010299956639812</v>
      </c>
      <c r="Z16">
        <v>9</v>
      </c>
      <c r="AA16">
        <v>1.6</v>
      </c>
      <c r="AB16">
        <v>1.1</v>
      </c>
      <c r="AC16">
        <v>1.9</v>
      </c>
      <c r="AD16">
        <v>0.8</v>
      </c>
      <c r="AE16">
        <v>1.2</v>
      </c>
      <c r="AG16">
        <f t="shared" si="0"/>
        <v>0.2041199826559248</v>
      </c>
      <c r="AH16">
        <f t="shared" si="1"/>
        <v>0.04139268515822508</v>
      </c>
      <c r="AI16">
        <f t="shared" si="2"/>
        <v>0.2787536009528289</v>
      </c>
      <c r="AJ16">
        <f t="shared" si="3"/>
        <v>-0.09691001300805639</v>
      </c>
      <c r="AK16">
        <f t="shared" si="4"/>
        <v>0.07918124604762482</v>
      </c>
      <c r="AM16" s="54">
        <v>2.238798562713917</v>
      </c>
      <c r="AN16" s="54"/>
      <c r="AO16" s="54"/>
    </row>
    <row r="17" spans="3:41" ht="12.75">
      <c r="C17" s="23">
        <v>8</v>
      </c>
      <c r="D17" s="54">
        <v>0.016</v>
      </c>
      <c r="E17" s="54"/>
      <c r="F17" s="54"/>
      <c r="I17" s="54">
        <f t="shared" si="7"/>
        <v>-1.7958800173440752</v>
      </c>
      <c r="J17" s="54"/>
      <c r="K17" s="54"/>
      <c r="M17">
        <f t="shared" si="10"/>
        <v>0.3765432098765432</v>
      </c>
      <c r="N17">
        <f t="shared" si="5"/>
        <v>-0.31457246373094394</v>
      </c>
      <c r="R17">
        <v>74.2</v>
      </c>
      <c r="V17">
        <v>1.8704039052790271</v>
      </c>
      <c r="Z17">
        <v>10</v>
      </c>
      <c r="AA17">
        <v>0.3</v>
      </c>
      <c r="AB17">
        <v>1.1</v>
      </c>
      <c r="AC17">
        <v>1.1</v>
      </c>
      <c r="AD17">
        <v>1.7</v>
      </c>
      <c r="AE17">
        <v>1.7</v>
      </c>
      <c r="AG17">
        <f t="shared" si="0"/>
        <v>-0.5228787452803376</v>
      </c>
      <c r="AH17">
        <f t="shared" si="1"/>
        <v>0.04139268515822508</v>
      </c>
      <c r="AI17">
        <f t="shared" si="2"/>
        <v>0.04139268515822508</v>
      </c>
      <c r="AJ17">
        <f t="shared" si="3"/>
        <v>0.2304489213782739</v>
      </c>
      <c r="AK17">
        <f t="shared" si="4"/>
        <v>0.2304489213782739</v>
      </c>
      <c r="AM17" s="54">
        <v>1.8704039052790271</v>
      </c>
      <c r="AN17" s="54"/>
      <c r="AO17" s="54"/>
    </row>
    <row r="18" spans="3:41" ht="12.75">
      <c r="C18" s="23">
        <v>9</v>
      </c>
      <c r="D18" s="54">
        <v>173.3</v>
      </c>
      <c r="E18" s="54"/>
      <c r="F18" s="54"/>
      <c r="I18" s="54">
        <f t="shared" si="7"/>
        <v>2.238798562713917</v>
      </c>
      <c r="J18" s="54"/>
      <c r="K18" s="54"/>
      <c r="M18">
        <f t="shared" si="10"/>
        <v>0.42592592592592593</v>
      </c>
      <c r="N18">
        <f t="shared" si="5"/>
        <v>-0.18675615184438088</v>
      </c>
      <c r="R18">
        <v>76.2</v>
      </c>
      <c r="V18">
        <v>1.8819549713396004</v>
      </c>
      <c r="Z18">
        <v>11</v>
      </c>
      <c r="AA18">
        <v>0.2</v>
      </c>
      <c r="AB18">
        <v>0.7</v>
      </c>
      <c r="AC18">
        <v>1.4</v>
      </c>
      <c r="AD18">
        <v>1.5</v>
      </c>
      <c r="AE18">
        <v>1.8</v>
      </c>
      <c r="AG18">
        <f t="shared" si="0"/>
        <v>-0.6989700043360187</v>
      </c>
      <c r="AH18">
        <f t="shared" si="1"/>
        <v>-0.1549019599857432</v>
      </c>
      <c r="AI18">
        <f t="shared" si="2"/>
        <v>0.146128035678238</v>
      </c>
      <c r="AJ18">
        <f t="shared" si="3"/>
        <v>0.17609125905568124</v>
      </c>
      <c r="AK18">
        <f t="shared" si="4"/>
        <v>0.25527250510330607</v>
      </c>
      <c r="AM18" s="54">
        <v>1.8819549713396004</v>
      </c>
      <c r="AN18" s="54"/>
      <c r="AO18" s="54"/>
    </row>
    <row r="19" spans="3:41" ht="12.75">
      <c r="C19" s="23">
        <v>10</v>
      </c>
      <c r="D19" s="54">
        <v>74.2</v>
      </c>
      <c r="E19" s="54"/>
      <c r="F19" s="54"/>
      <c r="I19" s="54">
        <f t="shared" si="7"/>
        <v>1.8704039052790271</v>
      </c>
      <c r="J19" s="54"/>
      <c r="K19" s="54"/>
      <c r="M19">
        <f t="shared" si="10"/>
        <v>0.47530864197530864</v>
      </c>
      <c r="N19">
        <f t="shared" si="5"/>
        <v>-0.061931447326583094</v>
      </c>
      <c r="R19">
        <v>90</v>
      </c>
      <c r="V19">
        <v>1.954242509439325</v>
      </c>
      <c r="Z19">
        <v>12</v>
      </c>
      <c r="AA19">
        <v>2.5</v>
      </c>
      <c r="AB19">
        <v>1.4</v>
      </c>
      <c r="AC19">
        <v>2.1</v>
      </c>
      <c r="AD19">
        <v>2.1</v>
      </c>
      <c r="AE19">
        <v>1.4</v>
      </c>
      <c r="AG19">
        <f t="shared" si="0"/>
        <v>0.3979400086720376</v>
      </c>
      <c r="AH19">
        <f t="shared" si="1"/>
        <v>0.146128035678238</v>
      </c>
      <c r="AI19">
        <f t="shared" si="2"/>
        <v>0.3222192947339193</v>
      </c>
      <c r="AJ19">
        <f t="shared" si="3"/>
        <v>0.3222192947339193</v>
      </c>
      <c r="AK19">
        <f t="shared" si="4"/>
        <v>0.146128035678238</v>
      </c>
      <c r="AM19" s="54">
        <v>2.288249225571986</v>
      </c>
      <c r="AN19" s="54"/>
      <c r="AO19" s="54"/>
    </row>
    <row r="20" spans="3:41" ht="12.75">
      <c r="C20" s="23">
        <v>11</v>
      </c>
      <c r="D20" s="54">
        <v>76.2</v>
      </c>
      <c r="E20" s="54"/>
      <c r="F20" s="54"/>
      <c r="I20" s="54">
        <f t="shared" si="7"/>
        <v>1.8819549713396004</v>
      </c>
      <c r="J20" s="54"/>
      <c r="K20" s="54"/>
      <c r="M20">
        <f t="shared" si="10"/>
        <v>0.5246913580246914</v>
      </c>
      <c r="N20">
        <f t="shared" si="5"/>
        <v>0.061931447326583094</v>
      </c>
      <c r="R20">
        <v>96.6</v>
      </c>
      <c r="V20">
        <v>1.9849771264154934</v>
      </c>
      <c r="Z20">
        <v>13</v>
      </c>
      <c r="AA20">
        <v>2.3</v>
      </c>
      <c r="AB20">
        <v>1.1</v>
      </c>
      <c r="AC20">
        <v>2.2</v>
      </c>
      <c r="AD20">
        <v>1.7</v>
      </c>
      <c r="AE20">
        <v>1.2</v>
      </c>
      <c r="AG20">
        <f t="shared" si="0"/>
        <v>0.36172783601759284</v>
      </c>
      <c r="AH20">
        <f t="shared" si="1"/>
        <v>0.04139268515822508</v>
      </c>
      <c r="AI20">
        <f t="shared" si="2"/>
        <v>0.3424226808222063</v>
      </c>
      <c r="AJ20">
        <f t="shared" si="3"/>
        <v>0.2304489213782739</v>
      </c>
      <c r="AK20">
        <f t="shared" si="4"/>
        <v>0.07918124604762482</v>
      </c>
      <c r="AM20" s="54">
        <v>2.4008832155483626</v>
      </c>
      <c r="AN20" s="54"/>
      <c r="AO20" s="54"/>
    </row>
    <row r="21" spans="3:41" ht="12.75">
      <c r="C21" s="23">
        <v>12</v>
      </c>
      <c r="D21" s="54">
        <v>194.2</v>
      </c>
      <c r="E21" s="54"/>
      <c r="F21" s="54"/>
      <c r="I21" s="54">
        <f t="shared" si="7"/>
        <v>2.288249225571986</v>
      </c>
      <c r="J21" s="54"/>
      <c r="K21" s="54"/>
      <c r="M21">
        <f t="shared" si="10"/>
        <v>0.5740740740740741</v>
      </c>
      <c r="N21">
        <f t="shared" si="5"/>
        <v>0.18675615184438088</v>
      </c>
      <c r="R21">
        <v>130.8</v>
      </c>
      <c r="V21">
        <v>2.1166077439882485</v>
      </c>
      <c r="Z21">
        <v>14</v>
      </c>
      <c r="AA21">
        <v>0.7</v>
      </c>
      <c r="AB21">
        <v>1.7</v>
      </c>
      <c r="AC21">
        <v>0.2</v>
      </c>
      <c r="AD21">
        <v>3.6</v>
      </c>
      <c r="AE21">
        <v>1.4</v>
      </c>
      <c r="AG21">
        <f t="shared" si="0"/>
        <v>-0.1549019599857432</v>
      </c>
      <c r="AH21">
        <f t="shared" si="1"/>
        <v>0.2304489213782739</v>
      </c>
      <c r="AI21">
        <f t="shared" si="2"/>
        <v>-0.6989700043360187</v>
      </c>
      <c r="AJ21">
        <f t="shared" si="3"/>
        <v>0.5563025007672873</v>
      </c>
      <c r="AK21">
        <f t="shared" si="4"/>
        <v>0.146128035678238</v>
      </c>
      <c r="AM21" s="54">
        <v>1.954242509439325</v>
      </c>
      <c r="AN21" s="54"/>
      <c r="AO21" s="54"/>
    </row>
    <row r="22" spans="3:41" ht="12.75">
      <c r="C22" s="23">
        <v>13</v>
      </c>
      <c r="D22" s="54">
        <v>251.7</v>
      </c>
      <c r="E22" s="54"/>
      <c r="F22" s="54"/>
      <c r="I22" s="54">
        <f t="shared" si="7"/>
        <v>2.4008832155483626</v>
      </c>
      <c r="J22" s="54"/>
      <c r="K22" s="54"/>
      <c r="M22">
        <f t="shared" si="10"/>
        <v>0.6234567901234568</v>
      </c>
      <c r="N22">
        <f t="shared" si="5"/>
        <v>0.31457246373094394</v>
      </c>
      <c r="R22">
        <v>158.3</v>
      </c>
      <c r="V22">
        <v>2.199480914862356</v>
      </c>
      <c r="Z22">
        <v>15</v>
      </c>
      <c r="AA22">
        <v>2.7</v>
      </c>
      <c r="AB22">
        <v>1.8</v>
      </c>
      <c r="AC22">
        <v>1.3</v>
      </c>
      <c r="AD22">
        <v>1.6</v>
      </c>
      <c r="AE22">
        <v>1.6</v>
      </c>
      <c r="AG22">
        <f t="shared" si="0"/>
        <v>0.43136376415898736</v>
      </c>
      <c r="AH22">
        <f t="shared" si="1"/>
        <v>0.25527250510330607</v>
      </c>
      <c r="AI22">
        <f t="shared" si="2"/>
        <v>0.11394335230683679</v>
      </c>
      <c r="AJ22">
        <f t="shared" si="3"/>
        <v>0.2041199826559248</v>
      </c>
      <c r="AK22">
        <f t="shared" si="4"/>
        <v>0.2041199826559248</v>
      </c>
      <c r="AM22" s="54">
        <v>2.333850145102545</v>
      </c>
      <c r="AN22" s="54"/>
      <c r="AO22" s="54"/>
    </row>
    <row r="23" spans="3:41" ht="12.75">
      <c r="C23" s="23">
        <v>14</v>
      </c>
      <c r="D23" s="54">
        <v>90</v>
      </c>
      <c r="E23" s="54"/>
      <c r="F23" s="54"/>
      <c r="I23" s="54">
        <f t="shared" si="7"/>
        <v>1.954242509439325</v>
      </c>
      <c r="J23" s="54"/>
      <c r="K23" s="54"/>
      <c r="M23">
        <f t="shared" si="10"/>
        <v>0.6728395061728395</v>
      </c>
      <c r="N23">
        <f t="shared" si="5"/>
        <v>0.44776757974978765</v>
      </c>
      <c r="R23">
        <v>160</v>
      </c>
      <c r="V23">
        <v>2.2041199826559246</v>
      </c>
      <c r="Z23">
        <v>16</v>
      </c>
      <c r="AA23">
        <v>0.9</v>
      </c>
      <c r="AB23">
        <v>1.3</v>
      </c>
      <c r="AC23">
        <v>1.6</v>
      </c>
      <c r="AD23">
        <v>0.9</v>
      </c>
      <c r="AE23">
        <v>0.4</v>
      </c>
      <c r="AG23">
        <f t="shared" si="0"/>
        <v>-0.045757490560675115</v>
      </c>
      <c r="AH23">
        <f t="shared" si="1"/>
        <v>0.11394335230683679</v>
      </c>
      <c r="AI23">
        <f t="shared" si="2"/>
        <v>0.2041199826559248</v>
      </c>
      <c r="AJ23">
        <f t="shared" si="3"/>
        <v>-0.045757490560675115</v>
      </c>
      <c r="AK23">
        <f t="shared" si="4"/>
        <v>-0.3979400086720376</v>
      </c>
      <c r="AM23" s="54">
        <v>1.6201360549737576</v>
      </c>
      <c r="AN23" s="54"/>
      <c r="AO23" s="54"/>
    </row>
    <row r="24" spans="3:41" ht="12.75">
      <c r="C24" s="23">
        <v>15</v>
      </c>
      <c r="D24" s="54">
        <v>215.7</v>
      </c>
      <c r="E24" s="54"/>
      <c r="F24" s="54"/>
      <c r="I24" s="54">
        <f t="shared" si="7"/>
        <v>2.333850145102545</v>
      </c>
      <c r="J24" s="54"/>
      <c r="K24" s="54"/>
      <c r="M24">
        <f t="shared" si="10"/>
        <v>0.7222222222222222</v>
      </c>
      <c r="N24">
        <f t="shared" si="5"/>
        <v>0.5894556520801433</v>
      </c>
      <c r="R24">
        <v>165</v>
      </c>
      <c r="V24">
        <v>2.2174839442139063</v>
      </c>
      <c r="Z24">
        <v>17</v>
      </c>
      <c r="AA24">
        <v>2</v>
      </c>
      <c r="AB24">
        <v>1.1</v>
      </c>
      <c r="AC24">
        <v>0.4</v>
      </c>
      <c r="AD24">
        <v>1.1</v>
      </c>
      <c r="AE24">
        <v>1.2</v>
      </c>
      <c r="AG24">
        <f t="shared" si="0"/>
        <v>0.3010299956639812</v>
      </c>
      <c r="AH24">
        <f t="shared" si="1"/>
        <v>0.04139268515822508</v>
      </c>
      <c r="AI24">
        <f t="shared" si="2"/>
        <v>-0.3979400086720376</v>
      </c>
      <c r="AJ24">
        <f t="shared" si="3"/>
        <v>0.04139268515822508</v>
      </c>
      <c r="AK24">
        <f t="shared" si="4"/>
        <v>0.07918124604762482</v>
      </c>
      <c r="AM24" s="54">
        <v>2.199480914862356</v>
      </c>
      <c r="AN24" s="54"/>
      <c r="AO24" s="54"/>
    </row>
    <row r="25" spans="3:44" ht="12.75">
      <c r="C25" s="23">
        <v>16</v>
      </c>
      <c r="D25" s="54">
        <v>41.7</v>
      </c>
      <c r="E25" s="54"/>
      <c r="F25" s="54"/>
      <c r="I25" s="54">
        <f t="shared" si="7"/>
        <v>1.6201360549737576</v>
      </c>
      <c r="J25" s="54"/>
      <c r="K25" s="54"/>
      <c r="M25">
        <f t="shared" si="10"/>
        <v>0.7716049382716049</v>
      </c>
      <c r="N25">
        <f t="shared" si="5"/>
        <v>0.7441425003572018</v>
      </c>
      <c r="R25">
        <v>173.3</v>
      </c>
      <c r="V25">
        <v>2.238798562713917</v>
      </c>
      <c r="Z25">
        <v>18</v>
      </c>
      <c r="AA25">
        <v>0.06</v>
      </c>
      <c r="AB25">
        <v>1.3</v>
      </c>
      <c r="AC25">
        <v>0</v>
      </c>
      <c r="AD25">
        <v>1.5</v>
      </c>
      <c r="AE25">
        <v>0.8</v>
      </c>
      <c r="AG25">
        <f t="shared" si="0"/>
        <v>-1.2218487496163564</v>
      </c>
      <c r="AH25">
        <f t="shared" si="1"/>
        <v>0.11394335230683679</v>
      </c>
      <c r="AJ25">
        <f t="shared" si="3"/>
        <v>0.17609125905568124</v>
      </c>
      <c r="AK25">
        <f t="shared" si="4"/>
        <v>-0.09691001300805639</v>
      </c>
      <c r="AM25" s="54">
        <v>1.850033257689769</v>
      </c>
      <c r="AN25" s="54"/>
      <c r="AO25" s="54"/>
      <c r="AP25" t="s">
        <v>389</v>
      </c>
      <c r="AQ25" t="s">
        <v>416</v>
      </c>
      <c r="AR25" t="s">
        <v>665</v>
      </c>
    </row>
    <row r="26" spans="3:44" ht="12.75">
      <c r="C26" s="23">
        <v>17</v>
      </c>
      <c r="D26" s="54">
        <v>158.3</v>
      </c>
      <c r="E26" s="54"/>
      <c r="F26" s="54"/>
      <c r="I26" s="54">
        <f t="shared" si="7"/>
        <v>2.199480914862356</v>
      </c>
      <c r="J26" s="54"/>
      <c r="K26" s="54"/>
      <c r="M26">
        <f t="shared" si="10"/>
        <v>0.8209876543209876</v>
      </c>
      <c r="N26">
        <f t="shared" si="5"/>
        <v>0.9191354215450898</v>
      </c>
      <c r="R26">
        <v>194.2</v>
      </c>
      <c r="V26">
        <v>2.288249225571986</v>
      </c>
      <c r="Z26">
        <v>19</v>
      </c>
      <c r="AA26">
        <v>0.2</v>
      </c>
      <c r="AB26">
        <v>1.7</v>
      </c>
      <c r="AC26">
        <v>0.2</v>
      </c>
      <c r="AD26">
        <v>0.6</v>
      </c>
      <c r="AE26">
        <v>0.4</v>
      </c>
      <c r="AG26">
        <f t="shared" si="0"/>
        <v>-0.6989700043360187</v>
      </c>
      <c r="AH26">
        <f t="shared" si="1"/>
        <v>0.2304489213782739</v>
      </c>
      <c r="AI26">
        <f t="shared" si="2"/>
        <v>-0.6989700043360187</v>
      </c>
      <c r="AJ26">
        <f t="shared" si="3"/>
        <v>-0.2218487496163564</v>
      </c>
      <c r="AK26">
        <f t="shared" si="4"/>
        <v>-0.3979400086720376</v>
      </c>
      <c r="AM26" s="54">
        <v>-0.7958800173440752</v>
      </c>
      <c r="AN26" s="54"/>
      <c r="AO26" s="54"/>
      <c r="AP26" s="12" t="s">
        <v>1055</v>
      </c>
      <c r="AQ26" t="s">
        <v>1040</v>
      </c>
      <c r="AR26">
        <v>0.56300549441739</v>
      </c>
    </row>
    <row r="27" spans="3:44" ht="12.75">
      <c r="C27" s="23">
        <v>18</v>
      </c>
      <c r="D27" s="54">
        <v>70.8</v>
      </c>
      <c r="E27" s="54"/>
      <c r="F27" s="54"/>
      <c r="I27" s="54">
        <f t="shared" si="7"/>
        <v>1.850033257689769</v>
      </c>
      <c r="J27" s="54"/>
      <c r="K27" s="54"/>
      <c r="M27">
        <f t="shared" si="10"/>
        <v>0.8703703703703703</v>
      </c>
      <c r="N27">
        <f t="shared" si="5"/>
        <v>1.1281438731534634</v>
      </c>
      <c r="R27">
        <v>201.7</v>
      </c>
      <c r="V27">
        <v>2.3047058982127653</v>
      </c>
      <c r="Z27">
        <v>20</v>
      </c>
      <c r="AA27">
        <v>0.7</v>
      </c>
      <c r="AB27">
        <v>1.1</v>
      </c>
      <c r="AC27">
        <v>1.1</v>
      </c>
      <c r="AD27">
        <v>1.1</v>
      </c>
      <c r="AE27">
        <v>0.5</v>
      </c>
      <c r="AG27">
        <f t="shared" si="0"/>
        <v>-0.1549019599857432</v>
      </c>
      <c r="AH27">
        <f t="shared" si="1"/>
        <v>0.04139268515822508</v>
      </c>
      <c r="AI27">
        <f t="shared" si="2"/>
        <v>0.04139268515822508</v>
      </c>
      <c r="AJ27">
        <f t="shared" si="3"/>
        <v>0.04139268515822508</v>
      </c>
      <c r="AK27">
        <f t="shared" si="4"/>
        <v>-0.3010299956639812</v>
      </c>
      <c r="AM27" s="54">
        <v>2.1166077439882485</v>
      </c>
      <c r="AN27" s="54"/>
      <c r="AO27" s="54"/>
      <c r="AP27" s="12" t="s">
        <v>1055</v>
      </c>
      <c r="AQ27" t="s">
        <v>1041</v>
      </c>
      <c r="AR27">
        <v>0.2995173804829371</v>
      </c>
    </row>
    <row r="28" spans="3:44" ht="12.75">
      <c r="C28" s="23">
        <v>19</v>
      </c>
      <c r="D28" s="54">
        <v>0.16</v>
      </c>
      <c r="E28" s="54"/>
      <c r="F28" s="54"/>
      <c r="I28" s="54">
        <f t="shared" si="7"/>
        <v>-0.7958800173440752</v>
      </c>
      <c r="J28" s="54"/>
      <c r="K28" s="54"/>
      <c r="M28">
        <f t="shared" si="10"/>
        <v>0.9197530864197531</v>
      </c>
      <c r="N28">
        <f t="shared" si="5"/>
        <v>1.4034129804140751</v>
      </c>
      <c r="R28">
        <v>215.7</v>
      </c>
      <c r="V28">
        <v>2.333850145102545</v>
      </c>
      <c r="Z28" t="s">
        <v>835</v>
      </c>
      <c r="AA28">
        <f>AVERAGE(AA8:AA27)</f>
        <v>0.9029999999999999</v>
      </c>
      <c r="AB28">
        <f>AVERAGE(AB8:AB27)</f>
        <v>1.0550000000000002</v>
      </c>
      <c r="AC28">
        <f>AVERAGE(AC8:AC27)</f>
        <v>1.035</v>
      </c>
      <c r="AD28">
        <f>AVERAGE(AD8:AD27)</f>
        <v>1.0050000000000001</v>
      </c>
      <c r="AE28">
        <f>AVERAGE(AE8:AE27)</f>
        <v>0.9099999999999999</v>
      </c>
      <c r="AG28">
        <f>AVERAGE(AG8:AG27)</f>
        <v>-0.24757419175952416</v>
      </c>
      <c r="AH28">
        <f>AVERAGE(AH8:AH27)</f>
        <v>-0.04500252022470107</v>
      </c>
      <c r="AI28">
        <f>AVERAGE(AI8:AI27)</f>
        <v>-0.08102692101698572</v>
      </c>
      <c r="AJ28">
        <f>AVERAGE(AJ8:AJ27)</f>
        <v>-0.12892078954551067</v>
      </c>
      <c r="AK28">
        <f>AVERAGE(AK8:AK27)</f>
        <v>-0.11816316260275413</v>
      </c>
      <c r="AP28" s="12" t="s">
        <v>1055</v>
      </c>
      <c r="AQ28" t="s">
        <v>1042</v>
      </c>
      <c r="AR28">
        <v>0.3839592928867362</v>
      </c>
    </row>
    <row r="29" spans="3:44" ht="12.75">
      <c r="C29" s="23">
        <v>20</v>
      </c>
      <c r="D29" s="54">
        <v>130.8</v>
      </c>
      <c r="E29" s="54"/>
      <c r="F29" s="54"/>
      <c r="I29" s="54">
        <f t="shared" si="7"/>
        <v>2.1166077439882485</v>
      </c>
      <c r="J29" s="54"/>
      <c r="K29" s="54"/>
      <c r="M29">
        <f t="shared" si="10"/>
        <v>0.9691358024691358</v>
      </c>
      <c r="N29">
        <f t="shared" si="5"/>
        <v>1.8682407386823847</v>
      </c>
      <c r="R29">
        <v>251.7</v>
      </c>
      <c r="V29">
        <v>2.4008832155483626</v>
      </c>
      <c r="Z29" t="s">
        <v>1044</v>
      </c>
      <c r="AA29">
        <f>STDEV(AA8:AA27)</f>
        <v>1.0113935149610476</v>
      </c>
      <c r="AB29">
        <f>STDEV(AB8:AB27)</f>
        <v>0.46393624788893484</v>
      </c>
      <c r="AC29">
        <f>STDEV(AC8:AC27)</f>
        <v>0.6761150633933315</v>
      </c>
      <c r="AD29">
        <f>STDEV(AD8:AD27)</f>
        <v>0.8822668172622754</v>
      </c>
      <c r="AE29">
        <f>STDEV(AE8:AE27)</f>
        <v>0.5128865679455326</v>
      </c>
      <c r="AG29" s="1">
        <f>STDEV(AG8:AG27)</f>
        <v>0.56300549441739</v>
      </c>
      <c r="AH29" s="1">
        <f>STDEV(AH8:AH27)</f>
        <v>0.2995173804829371</v>
      </c>
      <c r="AI29" s="1">
        <f>STDEV(AI8:AI27)</f>
        <v>0.3839592928867362</v>
      </c>
      <c r="AJ29" s="1">
        <f>STDEV(AJ8:AJ27)</f>
        <v>0.3955144632134443</v>
      </c>
      <c r="AK29" s="1">
        <f>STDEV(AK8:AK27)</f>
        <v>0.27724811990234893</v>
      </c>
      <c r="AM29">
        <v>1.672136349970918</v>
      </c>
      <c r="AN29">
        <v>2.037311082915201</v>
      </c>
      <c r="AO29">
        <v>-1.2419392817784731</v>
      </c>
      <c r="AP29" s="12" t="s">
        <v>1055</v>
      </c>
      <c r="AQ29" t="s">
        <v>331</v>
      </c>
      <c r="AR29">
        <v>0.3955144632134443</v>
      </c>
    </row>
    <row r="30" spans="39:44" ht="12.75">
      <c r="AM30" s="1">
        <v>1.069676873278055</v>
      </c>
      <c r="AN30" s="1">
        <v>0.09254650016411742</v>
      </c>
      <c r="AO30" s="1">
        <v>0.5677498789803554</v>
      </c>
      <c r="AP30" s="12" t="s">
        <v>1055</v>
      </c>
      <c r="AQ30" t="s">
        <v>1043</v>
      </c>
      <c r="AR30">
        <v>0.27724811990234893</v>
      </c>
    </row>
    <row r="31" spans="2:41" ht="12.75">
      <c r="B31" t="s">
        <v>134</v>
      </c>
      <c r="D31">
        <f>AVERAGE(D10:D29)</f>
        <v>110.65880000000001</v>
      </c>
      <c r="E31">
        <f>AVERAGE(E10:E29)</f>
        <v>111.14285714285714</v>
      </c>
      <c r="F31">
        <f>AVERAGE(F10:F16)</f>
        <v>0.11928571428571429</v>
      </c>
      <c r="I31">
        <f>AVERAGE(I10:I29)</f>
        <v>1.672136349970918</v>
      </c>
      <c r="J31">
        <f>AVERAGE(J10:J29)</f>
        <v>2.037311082915201</v>
      </c>
      <c r="K31">
        <f>AVERAGE(K10:K29)</f>
        <v>-1.2419392817784731</v>
      </c>
      <c r="AM31">
        <v>20</v>
      </c>
      <c r="AN31">
        <v>7</v>
      </c>
      <c r="AO31">
        <v>7</v>
      </c>
    </row>
    <row r="32" spans="2:11" ht="12.75">
      <c r="B32" t="s">
        <v>135</v>
      </c>
      <c r="D32">
        <f>STDEV(D10:D29)</f>
        <v>75.80316112947435</v>
      </c>
      <c r="E32">
        <f>STDEV(E10:E29)</f>
        <v>24.28599439614372</v>
      </c>
      <c r="F32">
        <f>STDEV(F10:F16)</f>
        <v>0.17210531106051927</v>
      </c>
      <c r="I32" s="1">
        <f>STDEV(I10:I29)</f>
        <v>1.069676873278055</v>
      </c>
      <c r="J32" s="1">
        <f>STDEV(J10:J29)</f>
        <v>0.09254650016411742</v>
      </c>
      <c r="K32" s="1">
        <f>STDEV(K10:K29)</f>
        <v>0.5677498789803554</v>
      </c>
    </row>
    <row r="33" spans="2:11" ht="12.75">
      <c r="B33" t="s">
        <v>136</v>
      </c>
      <c r="D33">
        <f>COUNT(D10:D29)</f>
        <v>20</v>
      </c>
      <c r="E33">
        <f>COUNT(E10:E29)</f>
        <v>7</v>
      </c>
      <c r="F33">
        <f>COUNT(F10:F29)</f>
        <v>7</v>
      </c>
      <c r="I33">
        <f>COUNT(I10:I29)</f>
        <v>20</v>
      </c>
      <c r="J33">
        <f>COUNT(J10:J29)</f>
        <v>7</v>
      </c>
      <c r="K33">
        <f>COUNT(K10:K29)</f>
        <v>7</v>
      </c>
    </row>
    <row r="34" spans="2:6" ht="12.75">
      <c r="B34" t="s">
        <v>137</v>
      </c>
      <c r="D34">
        <f>(D32/D33^0.5)</f>
        <v>16.950102119487436</v>
      </c>
      <c r="E34">
        <f>(E32/E33^0.5)</f>
        <v>9.179243073443507</v>
      </c>
      <c r="F34">
        <f>(F32/F33^0.5)</f>
        <v>0.06504969319707829</v>
      </c>
    </row>
    <row r="35" spans="2:6" ht="12.75">
      <c r="B35" t="s">
        <v>138</v>
      </c>
      <c r="D35" s="1">
        <f>D32/D31</f>
        <v>0.6850170174398632</v>
      </c>
      <c r="E35" s="1">
        <f>E32/E31</f>
        <v>0.2185115177030926</v>
      </c>
      <c r="F35" s="1">
        <f>F32/F31</f>
        <v>1.4427990148786045</v>
      </c>
    </row>
  </sheetData>
  <printOptions/>
  <pageMargins left="0.75" right="0.75" top="1" bottom="1" header="0.5" footer="0.5"/>
  <pageSetup orientation="portrait"/>
  <drawing r:id="rId1"/>
</worksheet>
</file>

<file path=xl/worksheets/sheet3.xml><?xml version="1.0" encoding="utf-8"?>
<worksheet xmlns="http://schemas.openxmlformats.org/spreadsheetml/2006/main" xmlns:r="http://schemas.openxmlformats.org/officeDocument/2006/relationships">
  <dimension ref="A1:AB61"/>
  <sheetViews>
    <sheetView zoomScale="115" zoomScaleNormal="115" workbookViewId="0" topLeftCell="A13">
      <selection activeCell="C32" sqref="C32"/>
    </sheetView>
  </sheetViews>
  <sheetFormatPr defaultColWidth="9.140625" defaultRowHeight="12.75"/>
  <cols>
    <col min="1" max="1" width="8.8515625" style="0" customWidth="1"/>
    <col min="2" max="3" width="28.421875" style="0" customWidth="1"/>
    <col min="4" max="4" width="25.8515625" style="0" customWidth="1"/>
    <col min="5" max="5" width="31.421875" style="0" customWidth="1"/>
    <col min="6" max="6" width="18.7109375" style="0" customWidth="1"/>
    <col min="7" max="7" width="16.28125" style="0" customWidth="1"/>
    <col min="8" max="8" width="8.8515625" style="0" customWidth="1"/>
    <col min="9" max="9" width="12.421875" style="0" bestFit="1" customWidth="1"/>
    <col min="10" max="11" width="8.8515625" style="0" customWidth="1"/>
    <col min="12" max="12" width="15.8515625" style="0" customWidth="1"/>
    <col min="13" max="13" width="15.28125" style="0" customWidth="1"/>
    <col min="14" max="14" width="8.8515625" style="0" customWidth="1"/>
    <col min="15" max="15" width="16.421875" style="0" customWidth="1"/>
    <col min="16" max="16384" width="8.8515625" style="0" customWidth="1"/>
  </cols>
  <sheetData>
    <row r="1" spans="1:24" ht="63.75">
      <c r="A1" s="7" t="s">
        <v>69</v>
      </c>
      <c r="B1" s="7" t="s">
        <v>57</v>
      </c>
      <c r="C1" s="7"/>
      <c r="D1" s="7" t="s">
        <v>58</v>
      </c>
      <c r="E1" s="7" t="s">
        <v>59</v>
      </c>
      <c r="F1" s="7" t="s">
        <v>60</v>
      </c>
      <c r="G1" s="7" t="s">
        <v>92</v>
      </c>
      <c r="H1" s="7" t="s">
        <v>61</v>
      </c>
      <c r="I1" s="7" t="s">
        <v>461</v>
      </c>
      <c r="J1" s="7" t="s">
        <v>62</v>
      </c>
      <c r="K1" s="7" t="s">
        <v>563</v>
      </c>
      <c r="L1" s="7" t="s">
        <v>63</v>
      </c>
      <c r="M1" s="8" t="s">
        <v>64</v>
      </c>
      <c r="N1" s="8" t="s">
        <v>138</v>
      </c>
      <c r="O1" s="7" t="s">
        <v>1126</v>
      </c>
      <c r="P1" s="7" t="s">
        <v>1127</v>
      </c>
      <c r="Q1" s="7" t="s">
        <v>66</v>
      </c>
      <c r="R1" s="7" t="s">
        <v>85</v>
      </c>
      <c r="S1" s="7" t="s">
        <v>67</v>
      </c>
      <c r="T1" s="7" t="s">
        <v>68</v>
      </c>
      <c r="U1" s="10"/>
      <c r="V1" s="10"/>
      <c r="W1" s="10"/>
      <c r="X1" s="10"/>
    </row>
    <row r="2" spans="2:19" ht="15.75">
      <c r="B2" s="21" t="s">
        <v>470</v>
      </c>
      <c r="C2" s="21"/>
      <c r="E2" t="s">
        <v>1114</v>
      </c>
      <c r="F2" t="s">
        <v>467</v>
      </c>
      <c r="G2" t="s">
        <v>466</v>
      </c>
      <c r="H2" t="s">
        <v>102</v>
      </c>
      <c r="I2" t="s">
        <v>469</v>
      </c>
      <c r="J2" t="s">
        <v>987</v>
      </c>
      <c r="K2" t="s">
        <v>971</v>
      </c>
      <c r="L2" t="s">
        <v>468</v>
      </c>
      <c r="M2">
        <v>0.3454143281649492</v>
      </c>
      <c r="N2">
        <v>0.8771046139287105</v>
      </c>
      <c r="O2" t="s">
        <v>892</v>
      </c>
      <c r="Q2" t="s">
        <v>95</v>
      </c>
      <c r="R2">
        <v>0.9262</v>
      </c>
      <c r="S2">
        <v>15</v>
      </c>
    </row>
    <row r="3" spans="2:19" ht="15.75">
      <c r="B3" s="21" t="s">
        <v>470</v>
      </c>
      <c r="C3" s="21"/>
      <c r="E3" t="s">
        <v>1114</v>
      </c>
      <c r="F3" t="s">
        <v>467</v>
      </c>
      <c r="G3" t="s">
        <v>466</v>
      </c>
      <c r="H3" t="s">
        <v>102</v>
      </c>
      <c r="I3" t="s">
        <v>469</v>
      </c>
      <c r="J3" t="s">
        <v>987</v>
      </c>
      <c r="K3" t="s">
        <v>970</v>
      </c>
      <c r="M3">
        <v>0.2285376619148625</v>
      </c>
      <c r="N3">
        <v>0.609030826590394</v>
      </c>
      <c r="O3" t="s">
        <v>892</v>
      </c>
      <c r="Q3" t="s">
        <v>95</v>
      </c>
      <c r="R3">
        <v>0.915</v>
      </c>
      <c r="S3">
        <v>15</v>
      </c>
    </row>
    <row r="4" spans="2:19" ht="15.75">
      <c r="B4" s="21" t="s">
        <v>470</v>
      </c>
      <c r="C4" s="21"/>
      <c r="E4" t="s">
        <v>1114</v>
      </c>
      <c r="F4" t="s">
        <v>467</v>
      </c>
      <c r="G4" t="s">
        <v>466</v>
      </c>
      <c r="H4" t="s">
        <v>102</v>
      </c>
      <c r="I4" t="s">
        <v>469</v>
      </c>
      <c r="J4" t="s">
        <v>987</v>
      </c>
      <c r="K4" t="s">
        <v>1129</v>
      </c>
      <c r="M4">
        <v>0.342741450745548</v>
      </c>
      <c r="N4">
        <v>0.6862088436899128</v>
      </c>
      <c r="O4" t="s">
        <v>892</v>
      </c>
      <c r="Q4" t="s">
        <v>95</v>
      </c>
      <c r="R4">
        <v>0.9414</v>
      </c>
      <c r="S4">
        <v>15</v>
      </c>
    </row>
    <row r="9" spans="13:24" ht="12.75">
      <c r="M9" t="s">
        <v>816</v>
      </c>
      <c r="P9" t="s">
        <v>816</v>
      </c>
      <c r="Q9" t="s">
        <v>464</v>
      </c>
      <c r="R9" t="s">
        <v>816</v>
      </c>
      <c r="V9" t="s">
        <v>816</v>
      </c>
      <c r="W9" t="s">
        <v>816</v>
      </c>
      <c r="X9" t="s">
        <v>816</v>
      </c>
    </row>
    <row r="11" spans="1:28" ht="102.75" thickBot="1">
      <c r="A11" s="22" t="s">
        <v>1112</v>
      </c>
      <c r="B11" s="22" t="s">
        <v>1113</v>
      </c>
      <c r="C11" s="22"/>
      <c r="D11" s="22" t="s">
        <v>1114</v>
      </c>
      <c r="E11" s="22" t="s">
        <v>1116</v>
      </c>
      <c r="F11" s="22" t="s">
        <v>1118</v>
      </c>
      <c r="I11" s="10" t="s">
        <v>462</v>
      </c>
      <c r="K11" t="s">
        <v>1129</v>
      </c>
      <c r="M11" t="s">
        <v>1118</v>
      </c>
      <c r="N11" s="10" t="s">
        <v>462</v>
      </c>
      <c r="P11" t="s">
        <v>1129</v>
      </c>
      <c r="R11" s="46" t="s">
        <v>189</v>
      </c>
      <c r="S11" s="46" t="s">
        <v>190</v>
      </c>
      <c r="T11" s="52" t="s">
        <v>1118</v>
      </c>
      <c r="U11" s="64" t="s">
        <v>462</v>
      </c>
      <c r="V11" s="52" t="s">
        <v>1129</v>
      </c>
      <c r="Y11" s="52" t="s">
        <v>1118</v>
      </c>
      <c r="Z11" t="s">
        <v>462</v>
      </c>
      <c r="AB11" t="s">
        <v>1129</v>
      </c>
    </row>
    <row r="12" spans="1:26" ht="13.5" thickBot="1">
      <c r="A12" s="23"/>
      <c r="B12" s="23" t="s">
        <v>122</v>
      </c>
      <c r="C12" s="23"/>
      <c r="D12" s="23" t="s">
        <v>1115</v>
      </c>
      <c r="E12" s="23" t="s">
        <v>1117</v>
      </c>
      <c r="F12" s="23" t="s">
        <v>1119</v>
      </c>
      <c r="I12" t="s">
        <v>463</v>
      </c>
      <c r="M12" t="s">
        <v>1119</v>
      </c>
      <c r="N12" t="s">
        <v>463</v>
      </c>
      <c r="R12" s="48"/>
      <c r="S12" s="48"/>
      <c r="T12" s="53" t="s">
        <v>1119</v>
      </c>
      <c r="U12" s="59" t="s">
        <v>463</v>
      </c>
      <c r="V12" s="59"/>
      <c r="Y12" s="53" t="s">
        <v>1119</v>
      </c>
      <c r="Z12" t="s">
        <v>463</v>
      </c>
    </row>
    <row r="13" spans="1:28" ht="12.75">
      <c r="A13" s="23">
        <v>1</v>
      </c>
      <c r="B13" s="23">
        <v>356</v>
      </c>
      <c r="C13" s="23">
        <f>LOG(B13)</f>
        <v>2.5514499979728753</v>
      </c>
      <c r="D13" s="23">
        <v>29.4</v>
      </c>
      <c r="E13" s="23">
        <v>3.35</v>
      </c>
      <c r="F13" s="23">
        <v>4.5</v>
      </c>
      <c r="I13">
        <f>E13/(B13/1000)</f>
        <v>9.410112359550563</v>
      </c>
      <c r="K13">
        <f>I13/(F13/1000)</f>
        <v>2091.1360799001254</v>
      </c>
      <c r="M13">
        <f>LOG(F13)</f>
        <v>0.6532125137753437</v>
      </c>
      <c r="N13">
        <f>LOG(I13)</f>
        <v>0.9735948090639701</v>
      </c>
      <c r="P13">
        <f>LOG(K13)</f>
        <v>3.3203822952886264</v>
      </c>
      <c r="R13" s="23">
        <f>(A13-3/8)/16.25</f>
        <v>0.038461538461538464</v>
      </c>
      <c r="S13" s="23">
        <f>NORMSINV(R13)</f>
        <v>-1.768824470225037</v>
      </c>
      <c r="T13" s="54">
        <v>0.3979400086720376</v>
      </c>
      <c r="U13" s="54">
        <v>-5.533439617807783</v>
      </c>
      <c r="V13" s="54">
        <v>-3.653355028065774</v>
      </c>
      <c r="Y13" s="54">
        <v>2.5</v>
      </c>
      <c r="Z13">
        <v>2.927927927927928E-06</v>
      </c>
      <c r="AB13">
        <v>0.000222149311678902</v>
      </c>
    </row>
    <row r="14" spans="1:28" ht="12.75">
      <c r="A14" s="23">
        <v>2</v>
      </c>
      <c r="B14" s="23">
        <v>395</v>
      </c>
      <c r="C14" s="23">
        <f aca="true" t="shared" si="0" ref="C14:C28">LOG(B14)</f>
        <v>2.59659709562646</v>
      </c>
      <c r="D14" s="23">
        <v>9.2</v>
      </c>
      <c r="E14" s="23">
        <v>2.2</v>
      </c>
      <c r="F14" s="23">
        <v>3.54</v>
      </c>
      <c r="I14">
        <f aca="true" t="shared" si="1" ref="I14:I28">E14/(B14/1000)</f>
        <v>5.569620253164557</v>
      </c>
      <c r="K14">
        <f aca="true" t="shared" si="2" ref="K14:K28">I14/(F14/1000)</f>
        <v>1573.3390545662592</v>
      </c>
      <c r="M14">
        <f aca="true" t="shared" si="3" ref="M14:M28">LOG(F14)</f>
        <v>0.5490032620257879</v>
      </c>
      <c r="N14">
        <f aca="true" t="shared" si="4" ref="N14:N28">LOG(I14)</f>
        <v>0.745825585195746</v>
      </c>
      <c r="P14">
        <f aca="true" t="shared" si="5" ref="P14:P28">LOG(K14)</f>
        <v>3.1968223231699584</v>
      </c>
      <c r="R14" s="23">
        <f aca="true" t="shared" si="6" ref="R14:R28">(A14-3/8)/16.25</f>
        <v>0.1</v>
      </c>
      <c r="S14" s="23">
        <f aca="true" t="shared" si="7" ref="S14:S28">NORMSINV(R14)</f>
        <v>-1.2815519393373522</v>
      </c>
      <c r="T14" s="54">
        <v>0.505149978319906</v>
      </c>
      <c r="U14" s="54">
        <v>-5.52942118729789</v>
      </c>
      <c r="V14" s="54">
        <v>-3.60703754558453</v>
      </c>
      <c r="Y14" s="54">
        <v>3.2</v>
      </c>
      <c r="Z14">
        <v>2.9551451187335096E-06</v>
      </c>
      <c r="AB14">
        <v>0.0002471510468995976</v>
      </c>
    </row>
    <row r="15" spans="1:28" ht="12.75">
      <c r="A15" s="23">
        <v>3</v>
      </c>
      <c r="B15" s="23">
        <v>448</v>
      </c>
      <c r="C15" s="23">
        <f t="shared" si="0"/>
        <v>2.651278013998144</v>
      </c>
      <c r="D15" s="23">
        <v>12.6</v>
      </c>
      <c r="E15" s="23">
        <v>3.71</v>
      </c>
      <c r="F15" s="23">
        <v>4.53</v>
      </c>
      <c r="I15">
        <f t="shared" si="1"/>
        <v>8.28125</v>
      </c>
      <c r="K15">
        <f t="shared" si="2"/>
        <v>1828.0905077262692</v>
      </c>
      <c r="M15">
        <f t="shared" si="3"/>
        <v>0.6560982020128319</v>
      </c>
      <c r="N15">
        <f t="shared" si="4"/>
        <v>0.9180958956169019</v>
      </c>
      <c r="P15">
        <f t="shared" si="5"/>
        <v>3.2619976936040698</v>
      </c>
      <c r="R15" s="23">
        <f t="shared" si="6"/>
        <v>0.16153846153846155</v>
      </c>
      <c r="S15" s="23">
        <f t="shared" si="7"/>
        <v>-0.9881546370381986</v>
      </c>
      <c r="T15" s="54">
        <v>0.5490032620257879</v>
      </c>
      <c r="U15" s="54">
        <v>-5.515579506538838</v>
      </c>
      <c r="V15" s="54">
        <v>-3.49102566358967</v>
      </c>
      <c r="Y15" s="54">
        <v>3.54</v>
      </c>
      <c r="Z15">
        <v>3.050847457627119E-06</v>
      </c>
      <c r="AB15">
        <v>0.0003228303347240839</v>
      </c>
    </row>
    <row r="16" spans="1:28" ht="12.75">
      <c r="A16" s="23">
        <v>4</v>
      </c>
      <c r="B16" s="23">
        <v>295</v>
      </c>
      <c r="C16" s="23">
        <f t="shared" si="0"/>
        <v>2.469822015978163</v>
      </c>
      <c r="D16" s="23">
        <v>0.5</v>
      </c>
      <c r="E16" s="23">
        <v>0.9</v>
      </c>
      <c r="F16" s="23">
        <v>8.32</v>
      </c>
      <c r="I16">
        <f t="shared" si="1"/>
        <v>3.050847457627119</v>
      </c>
      <c r="K16">
        <f t="shared" si="2"/>
        <v>366.68839634941327</v>
      </c>
      <c r="M16">
        <f t="shared" si="3"/>
        <v>0.9201233262907239</v>
      </c>
      <c r="N16">
        <f t="shared" si="4"/>
        <v>0.48442049346116195</v>
      </c>
      <c r="P16">
        <f t="shared" si="5"/>
        <v>2.5642971671704378</v>
      </c>
      <c r="R16" s="23">
        <f t="shared" si="6"/>
        <v>0.2230769230769231</v>
      </c>
      <c r="S16" s="23">
        <f t="shared" si="7"/>
        <v>-0.761842537875077</v>
      </c>
      <c r="T16" s="54">
        <v>0.6020599913279624</v>
      </c>
      <c r="U16" s="54">
        <v>-5.509370560438017</v>
      </c>
      <c r="V16" s="54">
        <v>-3.4357028328295622</v>
      </c>
      <c r="Y16" s="54">
        <v>4</v>
      </c>
      <c r="Z16">
        <v>3.0947775628626693E-06</v>
      </c>
      <c r="AB16">
        <v>0.00036668839634941325</v>
      </c>
    </row>
    <row r="17" spans="1:28" ht="12.75">
      <c r="A17" s="23">
        <v>5</v>
      </c>
      <c r="B17" s="23">
        <v>421</v>
      </c>
      <c r="C17" s="23">
        <f t="shared" si="0"/>
        <v>2.6242820958356683</v>
      </c>
      <c r="D17" s="23">
        <v>22</v>
      </c>
      <c r="E17" s="23">
        <v>4.07</v>
      </c>
      <c r="F17" s="23">
        <v>6.37</v>
      </c>
      <c r="I17">
        <f t="shared" si="1"/>
        <v>9.66745843230404</v>
      </c>
      <c r="K17">
        <f t="shared" si="2"/>
        <v>1517.6543849770862</v>
      </c>
      <c r="M17">
        <f t="shared" si="3"/>
        <v>0.8041394323353505</v>
      </c>
      <c r="N17">
        <f t="shared" si="4"/>
        <v>0.9853123133895518</v>
      </c>
      <c r="P17">
        <f t="shared" si="5"/>
        <v>3.1811728810542013</v>
      </c>
      <c r="R17" s="23">
        <f t="shared" si="6"/>
        <v>0.2846153846153846</v>
      </c>
      <c r="S17" s="23">
        <f t="shared" si="7"/>
        <v>-0.5691846297956478</v>
      </c>
      <c r="T17" s="54">
        <v>0.6532125137753437</v>
      </c>
      <c r="U17" s="54">
        <v>-5.372912002970106</v>
      </c>
      <c r="V17" s="54">
        <v>-3.3982804982872072</v>
      </c>
      <c r="Y17" s="54">
        <v>4.5</v>
      </c>
      <c r="Z17">
        <v>4.23728813559322E-06</v>
      </c>
      <c r="AB17">
        <v>0.00039968652037617554</v>
      </c>
    </row>
    <row r="18" spans="1:28" ht="12.75">
      <c r="A18" s="23">
        <v>6</v>
      </c>
      <c r="B18" s="23">
        <v>517</v>
      </c>
      <c r="C18" s="23">
        <f t="shared" si="0"/>
        <v>2.7134905430939424</v>
      </c>
      <c r="D18" s="23">
        <v>3.4</v>
      </c>
      <c r="E18" s="23">
        <v>1.6</v>
      </c>
      <c r="F18" s="23">
        <v>4</v>
      </c>
      <c r="I18">
        <f t="shared" si="1"/>
        <v>3.0947775628626695</v>
      </c>
      <c r="K18">
        <f t="shared" si="2"/>
        <v>773.6943907156674</v>
      </c>
      <c r="M18">
        <f t="shared" si="3"/>
        <v>0.6020599913279624</v>
      </c>
      <c r="N18">
        <f t="shared" si="4"/>
        <v>0.4906294395619823</v>
      </c>
      <c r="P18">
        <f t="shared" si="5"/>
        <v>2.88856944823402</v>
      </c>
      <c r="R18" s="23">
        <f t="shared" si="6"/>
        <v>0.34615384615384615</v>
      </c>
      <c r="S18" s="23">
        <f t="shared" si="7"/>
        <v>-0.3957254226491085</v>
      </c>
      <c r="T18" s="54">
        <v>0.6560982020128319</v>
      </c>
      <c r="U18" s="54">
        <v>-5.352749852590349</v>
      </c>
      <c r="V18" s="54">
        <v>-3.3469865568576713</v>
      </c>
      <c r="Y18" s="54">
        <v>4.53</v>
      </c>
      <c r="Z18">
        <v>4.4386422976501306E-06</v>
      </c>
      <c r="AB18">
        <v>0.00044979377758500906</v>
      </c>
    </row>
    <row r="19" spans="1:28" ht="12.75">
      <c r="A19" s="23">
        <v>7</v>
      </c>
      <c r="B19" s="23">
        <v>383</v>
      </c>
      <c r="C19" s="23">
        <f t="shared" si="0"/>
        <v>2.583198773968623</v>
      </c>
      <c r="D19" s="23">
        <v>3.2</v>
      </c>
      <c r="E19" s="23">
        <v>1.7</v>
      </c>
      <c r="F19" s="23">
        <v>3.2</v>
      </c>
      <c r="I19">
        <f t="shared" si="1"/>
        <v>4.43864229765013</v>
      </c>
      <c r="K19">
        <f t="shared" si="2"/>
        <v>1387.0757180156656</v>
      </c>
      <c r="M19">
        <f t="shared" si="3"/>
        <v>0.505149978319906</v>
      </c>
      <c r="N19">
        <f t="shared" si="4"/>
        <v>0.6472501474096511</v>
      </c>
      <c r="P19">
        <f t="shared" si="5"/>
        <v>3.142100169089745</v>
      </c>
      <c r="R19" s="23">
        <f t="shared" si="6"/>
        <v>0.4076923076923077</v>
      </c>
      <c r="S19" s="23">
        <f t="shared" si="7"/>
        <v>-0.2334853713669045</v>
      </c>
      <c r="T19" s="54">
        <v>0.7160033436347992</v>
      </c>
      <c r="U19" s="54">
        <v>-5.350079393023598</v>
      </c>
      <c r="V19" s="54">
        <v>-3.2809340842679955</v>
      </c>
      <c r="Y19" s="54">
        <v>5.2</v>
      </c>
      <c r="Z19">
        <v>4.466019417475728E-06</v>
      </c>
      <c r="AB19">
        <v>0.0005236799129014697</v>
      </c>
    </row>
    <row r="20" spans="1:28" ht="12.75">
      <c r="A20" s="23">
        <v>8</v>
      </c>
      <c r="B20" s="23">
        <v>493</v>
      </c>
      <c r="C20" s="23">
        <f t="shared" si="0"/>
        <v>2.69284691927723</v>
      </c>
      <c r="D20" s="23">
        <v>8.6</v>
      </c>
      <c r="E20" s="23">
        <v>2.5</v>
      </c>
      <c r="F20" s="23">
        <v>5.2</v>
      </c>
      <c r="I20">
        <f t="shared" si="1"/>
        <v>5.070993914807302</v>
      </c>
      <c r="K20">
        <f t="shared" si="2"/>
        <v>975.1911374629428</v>
      </c>
      <c r="M20">
        <f t="shared" si="3"/>
        <v>0.7160033436347992</v>
      </c>
      <c r="N20">
        <f t="shared" si="4"/>
        <v>0.7050930893948076</v>
      </c>
      <c r="P20">
        <f t="shared" si="5"/>
        <v>2.9890897457600083</v>
      </c>
      <c r="R20" s="23">
        <f t="shared" si="6"/>
        <v>0.46923076923076923</v>
      </c>
      <c r="S20" s="23">
        <f t="shared" si="7"/>
        <v>-0.07720347730189658</v>
      </c>
      <c r="T20" s="54">
        <v>0.8041394323353505</v>
      </c>
      <c r="U20" s="54">
        <v>-5.294906910605192</v>
      </c>
      <c r="V20" s="54">
        <v>-3.11143055176598</v>
      </c>
      <c r="Y20" s="54">
        <v>6.37</v>
      </c>
      <c r="Z20">
        <v>5.070993914807302E-06</v>
      </c>
      <c r="AB20">
        <v>0.0007736943907156673</v>
      </c>
    </row>
    <row r="21" spans="1:28" ht="12.75">
      <c r="A21" s="23">
        <v>9</v>
      </c>
      <c r="B21" s="23">
        <v>413</v>
      </c>
      <c r="C21" s="23">
        <f t="shared" si="0"/>
        <v>2.615950051656401</v>
      </c>
      <c r="D21" s="23">
        <v>10.4</v>
      </c>
      <c r="E21" s="23">
        <v>1.75</v>
      </c>
      <c r="F21" s="23">
        <v>2.5</v>
      </c>
      <c r="I21">
        <f t="shared" si="1"/>
        <v>4.237288135593221</v>
      </c>
      <c r="K21">
        <f t="shared" si="2"/>
        <v>1694.9152542372883</v>
      </c>
      <c r="M21">
        <f t="shared" si="3"/>
        <v>0.3979400086720376</v>
      </c>
      <c r="N21">
        <f t="shared" si="4"/>
        <v>0.6270879970298935</v>
      </c>
      <c r="P21">
        <f t="shared" si="5"/>
        <v>3.2291479883578558</v>
      </c>
      <c r="R21" s="23">
        <f t="shared" si="6"/>
        <v>0.5307692307692308</v>
      </c>
      <c r="S21" s="23">
        <f t="shared" si="7"/>
        <v>0.07720347730189658</v>
      </c>
      <c r="T21" s="54">
        <v>0.8175653695597808</v>
      </c>
      <c r="U21" s="54">
        <v>-5.254174414804254</v>
      </c>
      <c r="V21" s="54">
        <v>-3.0109102542399917</v>
      </c>
      <c r="Y21" s="54">
        <v>6.57</v>
      </c>
      <c r="Z21">
        <v>5.569620253164557E-06</v>
      </c>
      <c r="AB21">
        <v>0.0009751911374629428</v>
      </c>
    </row>
    <row r="22" spans="1:28" ht="12.75">
      <c r="A22" s="23">
        <v>10</v>
      </c>
      <c r="B22" s="23">
        <v>412</v>
      </c>
      <c r="C22" s="23">
        <f t="shared" si="0"/>
        <v>2.6148972160331345</v>
      </c>
      <c r="D22" s="23">
        <v>21.2</v>
      </c>
      <c r="E22" s="23">
        <v>1.84</v>
      </c>
      <c r="F22" s="23">
        <v>18.07</v>
      </c>
      <c r="I22">
        <f t="shared" si="1"/>
        <v>4.466019417475729</v>
      </c>
      <c r="K22">
        <f t="shared" si="2"/>
        <v>247.15104689959762</v>
      </c>
      <c r="M22">
        <f t="shared" si="3"/>
        <v>1.256958152560932</v>
      </c>
      <c r="N22">
        <f t="shared" si="4"/>
        <v>0.649920606976402</v>
      </c>
      <c r="P22">
        <f t="shared" si="5"/>
        <v>2.39296245441547</v>
      </c>
      <c r="R22" s="23">
        <f t="shared" si="6"/>
        <v>0.5923076923076923</v>
      </c>
      <c r="S22" s="23">
        <f t="shared" si="7"/>
        <v>0.23348537136690428</v>
      </c>
      <c r="T22" s="54">
        <v>0.9201233262907239</v>
      </c>
      <c r="U22" s="54">
        <v>-5.152767830473057</v>
      </c>
      <c r="V22" s="54">
        <v>-2.857899830910255</v>
      </c>
      <c r="Y22" s="54">
        <v>8.32</v>
      </c>
      <c r="Z22">
        <v>7.03448275862069E-06</v>
      </c>
      <c r="AB22">
        <v>0.0013870757180156658</v>
      </c>
    </row>
    <row r="23" spans="1:28" ht="12.75">
      <c r="A23" s="23">
        <v>11</v>
      </c>
      <c r="B23" s="23">
        <v>444</v>
      </c>
      <c r="C23" s="23">
        <f t="shared" si="0"/>
        <v>2.6473829701146196</v>
      </c>
      <c r="D23" s="23">
        <v>16.2</v>
      </c>
      <c r="E23" s="23">
        <v>1.3</v>
      </c>
      <c r="F23" s="23">
        <v>13.18</v>
      </c>
      <c r="I23">
        <f t="shared" si="1"/>
        <v>2.9279279279279278</v>
      </c>
      <c r="K23">
        <f t="shared" si="2"/>
        <v>222.14931167890197</v>
      </c>
      <c r="M23">
        <f t="shared" si="3"/>
        <v>1.1199154102579911</v>
      </c>
      <c r="N23">
        <f t="shared" si="4"/>
        <v>0.4665603821922169</v>
      </c>
      <c r="P23">
        <f t="shared" si="5"/>
        <v>2.346644971934226</v>
      </c>
      <c r="R23" s="23">
        <f t="shared" si="6"/>
        <v>0.6538461538461539</v>
      </c>
      <c r="S23" s="23">
        <f t="shared" si="7"/>
        <v>0.3957254226491085</v>
      </c>
      <c r="T23" s="54">
        <v>1.1199154102579911</v>
      </c>
      <c r="U23" s="54">
        <v>-5.138071751879583</v>
      </c>
      <c r="V23" s="54">
        <v>-2.8188271189457987</v>
      </c>
      <c r="Y23" s="54">
        <v>13.18</v>
      </c>
      <c r="Z23">
        <v>7.276595744680851E-06</v>
      </c>
      <c r="AB23">
        <v>0.0015176543849770862</v>
      </c>
    </row>
    <row r="24" spans="1:28" ht="12.75">
      <c r="A24" s="23">
        <v>12</v>
      </c>
      <c r="B24" s="23">
        <v>275</v>
      </c>
      <c r="C24" s="23">
        <f t="shared" si="0"/>
        <v>2.439332693830263</v>
      </c>
      <c r="D24" s="23">
        <v>24.2</v>
      </c>
      <c r="E24" s="23">
        <v>4.81</v>
      </c>
      <c r="F24" s="23">
        <v>33.4</v>
      </c>
      <c r="I24">
        <f t="shared" si="1"/>
        <v>17.49090909090909</v>
      </c>
      <c r="K24">
        <f t="shared" si="2"/>
        <v>523.6799129014697</v>
      </c>
      <c r="M24">
        <f t="shared" si="3"/>
        <v>1.5237464668115646</v>
      </c>
      <c r="N24">
        <f t="shared" si="4"/>
        <v>1.242812382543569</v>
      </c>
      <c r="P24">
        <f t="shared" si="5"/>
        <v>2.7190659157320045</v>
      </c>
      <c r="R24" s="23">
        <f t="shared" si="6"/>
        <v>0.7153846153846154</v>
      </c>
      <c r="S24" s="23">
        <f t="shared" si="7"/>
        <v>0.5691846297956478</v>
      </c>
      <c r="T24" s="54">
        <v>1.24551266781415</v>
      </c>
      <c r="U24" s="54">
        <v>-5.081904104383098</v>
      </c>
      <c r="V24" s="54">
        <v>-2.8031776768300416</v>
      </c>
      <c r="Y24" s="54">
        <v>17.6</v>
      </c>
      <c r="Z24">
        <v>8.28125E-06</v>
      </c>
      <c r="AB24">
        <v>0.001573339054566259</v>
      </c>
    </row>
    <row r="25" spans="1:28" ht="12.75">
      <c r="A25" s="23">
        <v>13</v>
      </c>
      <c r="B25" s="23">
        <v>435</v>
      </c>
      <c r="C25" s="23">
        <f t="shared" si="0"/>
        <v>2.6384892569546374</v>
      </c>
      <c r="D25" s="23">
        <v>61</v>
      </c>
      <c r="E25" s="23">
        <v>3.06</v>
      </c>
      <c r="F25" s="23">
        <v>17.6</v>
      </c>
      <c r="I25">
        <f t="shared" si="1"/>
        <v>7.0344827586206895</v>
      </c>
      <c r="K25">
        <f t="shared" si="2"/>
        <v>399.6865203761755</v>
      </c>
      <c r="M25">
        <f t="shared" si="3"/>
        <v>1.24551266781415</v>
      </c>
      <c r="N25">
        <f t="shared" si="4"/>
        <v>0.8472321695269427</v>
      </c>
      <c r="P25">
        <f t="shared" si="5"/>
        <v>2.6017195017127928</v>
      </c>
      <c r="R25" s="23">
        <f t="shared" si="6"/>
        <v>0.7769230769230769</v>
      </c>
      <c r="S25" s="23">
        <f t="shared" si="7"/>
        <v>0.761842537875077</v>
      </c>
      <c r="T25" s="54">
        <v>1.256958152560932</v>
      </c>
      <c r="U25" s="54">
        <v>-5.02640519093603</v>
      </c>
      <c r="V25" s="54">
        <v>-2.7708520116421442</v>
      </c>
      <c r="Y25" s="54">
        <v>18.07</v>
      </c>
      <c r="Z25">
        <v>9.410112359550562E-06</v>
      </c>
      <c r="AB25">
        <v>0.001694915254237288</v>
      </c>
    </row>
    <row r="26" spans="1:28" ht="12.75">
      <c r="A26" s="23">
        <v>14</v>
      </c>
      <c r="B26" s="23">
        <v>470</v>
      </c>
      <c r="C26" s="23">
        <f t="shared" si="0"/>
        <v>2.6720978579357175</v>
      </c>
      <c r="D26" s="23">
        <v>17.4</v>
      </c>
      <c r="E26" s="23">
        <v>3.42</v>
      </c>
      <c r="F26" s="23">
        <v>22.54</v>
      </c>
      <c r="I26">
        <f t="shared" si="1"/>
        <v>7.276595744680852</v>
      </c>
      <c r="K26">
        <f t="shared" si="2"/>
        <v>322.83033472408397</v>
      </c>
      <c r="M26">
        <f t="shared" si="3"/>
        <v>1.3529539117100877</v>
      </c>
      <c r="N26">
        <f t="shared" si="4"/>
        <v>0.8619282481204176</v>
      </c>
      <c r="P26">
        <f t="shared" si="5"/>
        <v>2.50897433641033</v>
      </c>
      <c r="R26" s="23">
        <f t="shared" si="6"/>
        <v>0.8384615384615385</v>
      </c>
      <c r="S26" s="23">
        <f t="shared" si="7"/>
        <v>0.9881546370381986</v>
      </c>
      <c r="T26" s="54">
        <v>1.3529539117100877</v>
      </c>
      <c r="U26" s="54">
        <v>-5.014687686610448</v>
      </c>
      <c r="V26" s="54">
        <v>-2.7380023063959302</v>
      </c>
      <c r="Y26" s="54">
        <v>22.54</v>
      </c>
      <c r="Z26">
        <v>9.66745843230404E-06</v>
      </c>
      <c r="AB26">
        <v>0.0018280905077262691</v>
      </c>
    </row>
    <row r="27" spans="1:28" ht="12.75">
      <c r="A27" s="23">
        <v>15</v>
      </c>
      <c r="B27" s="23" t="s">
        <v>1120</v>
      </c>
      <c r="C27" s="23"/>
      <c r="D27" s="23">
        <v>3.8</v>
      </c>
      <c r="E27" s="23" t="s">
        <v>1120</v>
      </c>
      <c r="F27" s="23" t="s">
        <v>1120</v>
      </c>
      <c r="I27" t="s">
        <v>1120</v>
      </c>
      <c r="K27" t="s">
        <v>465</v>
      </c>
      <c r="P27" t="s">
        <v>465</v>
      </c>
      <c r="R27" s="23">
        <f t="shared" si="6"/>
        <v>0.9</v>
      </c>
      <c r="S27" s="23">
        <f t="shared" si="7"/>
        <v>1.2815519393373522</v>
      </c>
      <c r="T27" s="54">
        <v>1.5237464668115646</v>
      </c>
      <c r="U27" s="54">
        <v>-4.757187617456431</v>
      </c>
      <c r="V27" s="54">
        <v>-2.6796177047113736</v>
      </c>
      <c r="Y27" s="54">
        <v>33.4</v>
      </c>
      <c r="Z27">
        <v>1.749090909090909E-05</v>
      </c>
      <c r="AB27">
        <v>0.002091136079900125</v>
      </c>
    </row>
    <row r="28" spans="1:28" ht="12.75">
      <c r="A28" s="23">
        <v>16</v>
      </c>
      <c r="B28" s="23">
        <v>379</v>
      </c>
      <c r="C28" s="23">
        <f t="shared" si="0"/>
        <v>2.578639209968072</v>
      </c>
      <c r="D28" s="23">
        <v>8.8</v>
      </c>
      <c r="E28" s="23">
        <v>1.12</v>
      </c>
      <c r="F28" s="23">
        <v>6.57</v>
      </c>
      <c r="I28">
        <f t="shared" si="1"/>
        <v>2.9551451187335096</v>
      </c>
      <c r="K28">
        <f t="shared" si="2"/>
        <v>449.793777585009</v>
      </c>
      <c r="M28">
        <f t="shared" si="3"/>
        <v>0.8175653695597808</v>
      </c>
      <c r="N28">
        <f t="shared" si="4"/>
        <v>0.47057881270210933</v>
      </c>
      <c r="P28">
        <f t="shared" si="5"/>
        <v>2.6530134431423287</v>
      </c>
      <c r="R28" s="23">
        <f t="shared" si="6"/>
        <v>0.9615384615384616</v>
      </c>
      <c r="S28" s="23">
        <f t="shared" si="7"/>
        <v>1.768824470225037</v>
      </c>
      <c r="T28" s="54"/>
      <c r="U28" s="54"/>
      <c r="V28" s="54"/>
      <c r="Y28" s="54" t="s">
        <v>1120</v>
      </c>
      <c r="Z28" t="s">
        <v>1120</v>
      </c>
      <c r="AB28" t="s">
        <v>465</v>
      </c>
    </row>
    <row r="29" spans="18:22" ht="12.75">
      <c r="R29" s="23"/>
      <c r="S29" s="23"/>
      <c r="T29" s="54" t="s">
        <v>396</v>
      </c>
      <c r="U29" s="54">
        <f>PEARSON(T13:T27,U13:U27)</f>
        <v>0.9741937230212956</v>
      </c>
      <c r="V29" s="54"/>
    </row>
    <row r="30" ht="12.75">
      <c r="Z30">
        <f>AVERAGE(Z12:Z27)</f>
        <v>6.331471364793827E-06</v>
      </c>
    </row>
    <row r="31" spans="1:26" ht="12.75">
      <c r="A31" t="s">
        <v>134</v>
      </c>
      <c r="B31">
        <f>AVERAGE(B13:B28)</f>
        <v>409.06666666666666</v>
      </c>
      <c r="C31">
        <f>AVERAGE(C13:C28)</f>
        <v>2.60598364748293</v>
      </c>
      <c r="D31">
        <f>AVERAGE(D13:D28)</f>
        <v>15.74375</v>
      </c>
      <c r="E31">
        <f>AVERAGE(E13:E28)</f>
        <v>2.4886666666666666</v>
      </c>
      <c r="F31">
        <f>AVERAGE(F13:F28)</f>
        <v>10.234666666666666</v>
      </c>
      <c r="I31">
        <f>AVERAGE(I13:I28)</f>
        <v>6.331471364793826</v>
      </c>
      <c r="K31">
        <f>AVERAGE(K13:K28)</f>
        <v>958.2050552077304</v>
      </c>
      <c r="M31">
        <f>AVERAGE(M13:M28)</f>
        <v>0.8746921358072833</v>
      </c>
      <c r="N31">
        <f>AVERAGE(N13:N28)</f>
        <v>0.7410894914790216</v>
      </c>
      <c r="P31">
        <f>AVERAGE(P13:P28)</f>
        <v>2.8663973556717384</v>
      </c>
      <c r="Z31" s="1">
        <f>STDEV(Z13:Z27)</f>
        <v>3.8560612388337926E-06</v>
      </c>
    </row>
    <row r="32" spans="1:26" ht="12.75">
      <c r="A32" t="s">
        <v>135</v>
      </c>
      <c r="B32">
        <f>STDEV(B13:B28)</f>
        <v>66.31361276612233</v>
      </c>
      <c r="C32">
        <f>STDEV(C13:C28)</f>
        <v>0.07533315860642074</v>
      </c>
      <c r="D32">
        <f>STDEV(D13:D28)</f>
        <v>14.704283672907472</v>
      </c>
      <c r="E32">
        <f>STDEV(E13:E28)</f>
        <v>1.182858925694539</v>
      </c>
      <c r="F32">
        <f>STDEV(F13:F28)</f>
        <v>8.976873355355709</v>
      </c>
      <c r="I32">
        <f>STDEV(I13:I28)</f>
        <v>3.8560612388337936</v>
      </c>
      <c r="K32">
        <f>STDEV(K13:K28)</f>
        <v>657.5287829519253</v>
      </c>
      <c r="M32" s="1">
        <f>STDEV(M13:M28)</f>
        <v>0.3454143281649492</v>
      </c>
      <c r="N32" s="1">
        <f>STDEV(N13:N28)</f>
        <v>0.22853766191485525</v>
      </c>
      <c r="O32" s="1"/>
      <c r="P32" s="1">
        <f>STDEV(P13:P28)</f>
        <v>0.3427414507455451</v>
      </c>
      <c r="Z32">
        <f>COUNT(Z12:Z27)</f>
        <v>15</v>
      </c>
    </row>
    <row r="33" spans="1:16" ht="12.75">
      <c r="A33" t="s">
        <v>136</v>
      </c>
      <c r="B33">
        <f>COUNT(B13:B28)</f>
        <v>15</v>
      </c>
      <c r="C33">
        <f>COUNT(C13:C28)</f>
        <v>15</v>
      </c>
      <c r="D33">
        <f>COUNT(D13:D28)</f>
        <v>16</v>
      </c>
      <c r="E33">
        <f>COUNT(E13:E28)</f>
        <v>15</v>
      </c>
      <c r="F33">
        <f>COUNT(F13:F28)</f>
        <v>15</v>
      </c>
      <c r="I33">
        <f>COUNT(I13:I28)</f>
        <v>15</v>
      </c>
      <c r="K33">
        <f>COUNT(K13:K28)</f>
        <v>15</v>
      </c>
      <c r="M33">
        <f>COUNT(M13:M28)</f>
        <v>15</v>
      </c>
      <c r="N33">
        <f>COUNT(N13:N28)</f>
        <v>15</v>
      </c>
      <c r="P33">
        <f>COUNT(P13:P28)</f>
        <v>15</v>
      </c>
    </row>
    <row r="34" spans="1:11" ht="12.75">
      <c r="A34" t="s">
        <v>137</v>
      </c>
      <c r="B34">
        <f>(B32/B33^0.5)</f>
        <v>17.122101191335958</v>
      </c>
      <c r="D34">
        <f>(D32/D33^0.5)</f>
        <v>3.676070918226868</v>
      </c>
      <c r="E34">
        <f>(E32/E33^0.5)</f>
        <v>0.3054128613418497</v>
      </c>
      <c r="F34">
        <f>(F32/F33^0.5)</f>
        <v>2.317818733753717</v>
      </c>
      <c r="I34">
        <f>(I32/I33^0.5)</f>
        <v>0.9956307306639481</v>
      </c>
      <c r="K34">
        <f>(K32/K33^0.5)</f>
        <v>169.77320173498921</v>
      </c>
    </row>
    <row r="35" spans="1:18" ht="12.75">
      <c r="A35" t="s">
        <v>138</v>
      </c>
      <c r="B35" s="1">
        <f>B32/B31</f>
        <v>0.1621095488089692</v>
      </c>
      <c r="C35" s="1"/>
      <c r="D35" s="1">
        <f>D32/D31</f>
        <v>0.9339759379377512</v>
      </c>
      <c r="E35" s="1">
        <f>E32/E31</f>
        <v>0.47529825570367223</v>
      </c>
      <c r="F35" s="1">
        <f>F32/F31</f>
        <v>0.8771046139287105</v>
      </c>
      <c r="G35" s="1"/>
      <c r="H35" s="1"/>
      <c r="I35" s="1">
        <f>I32/I31</f>
        <v>0.609030826590394</v>
      </c>
      <c r="J35" s="1"/>
      <c r="K35" s="1">
        <f>K32/K31</f>
        <v>0.6862088436899124</v>
      </c>
      <c r="L35" s="1"/>
      <c r="M35" s="1"/>
      <c r="N35" s="1"/>
      <c r="O35" s="1"/>
      <c r="P35" s="1"/>
      <c r="Q35" s="1"/>
      <c r="R35" s="1"/>
    </row>
    <row r="36" spans="13:14" ht="12.75">
      <c r="M36" t="s">
        <v>395</v>
      </c>
      <c r="N36">
        <f>PEARSON(M13:M28,N13:N28)</f>
        <v>0.3424670233520372</v>
      </c>
    </row>
    <row r="39" spans="3:5" ht="12.75">
      <c r="C39" t="s">
        <v>816</v>
      </c>
      <c r="E39" t="s">
        <v>816</v>
      </c>
    </row>
    <row r="40" spans="1:8" ht="12.75">
      <c r="A40" t="s">
        <v>1112</v>
      </c>
      <c r="B40" t="s">
        <v>1113</v>
      </c>
      <c r="C40" t="s">
        <v>1113</v>
      </c>
      <c r="D40" t="s">
        <v>1114</v>
      </c>
      <c r="E40" t="s">
        <v>1114</v>
      </c>
      <c r="G40" t="s">
        <v>1114</v>
      </c>
      <c r="H40" t="s">
        <v>1113</v>
      </c>
    </row>
    <row r="41" spans="2:8" ht="12.75">
      <c r="B41" t="s">
        <v>122</v>
      </c>
      <c r="C41" t="s">
        <v>122</v>
      </c>
      <c r="D41" t="s">
        <v>1115</v>
      </c>
      <c r="E41" t="s">
        <v>1115</v>
      </c>
      <c r="G41" t="s">
        <v>1115</v>
      </c>
      <c r="H41" t="s">
        <v>122</v>
      </c>
    </row>
    <row r="42" spans="1:10" ht="12.75">
      <c r="A42">
        <v>1</v>
      </c>
      <c r="B42">
        <v>356</v>
      </c>
      <c r="C42">
        <v>2.5514499979728753</v>
      </c>
      <c r="D42">
        <v>29.4</v>
      </c>
      <c r="E42">
        <f>LOG(D42)</f>
        <v>1.4683473304121573</v>
      </c>
      <c r="G42">
        <v>29.4</v>
      </c>
      <c r="H42">
        <v>356</v>
      </c>
      <c r="I42">
        <f>G42*H42/1000</f>
        <v>10.4664</v>
      </c>
      <c r="J42">
        <f>LOG(I42)</f>
        <v>1.0197973283850326</v>
      </c>
    </row>
    <row r="43" spans="1:10" ht="12.75">
      <c r="A43">
        <v>2</v>
      </c>
      <c r="B43">
        <v>395</v>
      </c>
      <c r="C43">
        <v>2.59659709562646</v>
      </c>
      <c r="D43">
        <v>9.2</v>
      </c>
      <c r="E43">
        <f aca="true" t="shared" si="8" ref="E43:E57">LOG(D43)</f>
        <v>0.9637878273455552</v>
      </c>
      <c r="G43">
        <v>9.2</v>
      </c>
      <c r="H43">
        <v>395</v>
      </c>
      <c r="I43">
        <f aca="true" t="shared" si="9" ref="I43:I57">G43*H43/1000</f>
        <v>3.6339999999999995</v>
      </c>
      <c r="J43">
        <f aca="true" t="shared" si="10" ref="J43:J57">LOG(I43)</f>
        <v>0.5603849229720155</v>
      </c>
    </row>
    <row r="44" spans="1:10" ht="12.75">
      <c r="A44">
        <v>3</v>
      </c>
      <c r="B44">
        <v>448</v>
      </c>
      <c r="C44">
        <v>2.651278013998144</v>
      </c>
      <c r="D44">
        <v>12.6</v>
      </c>
      <c r="E44">
        <f t="shared" si="8"/>
        <v>1.100370545117563</v>
      </c>
      <c r="G44">
        <v>12.6</v>
      </c>
      <c r="H44">
        <v>448</v>
      </c>
      <c r="I44">
        <f t="shared" si="9"/>
        <v>5.6448</v>
      </c>
      <c r="J44">
        <f t="shared" si="10"/>
        <v>0.7516485591157069</v>
      </c>
    </row>
    <row r="45" spans="1:10" ht="12.75">
      <c r="A45">
        <v>4</v>
      </c>
      <c r="B45">
        <v>295</v>
      </c>
      <c r="C45">
        <v>2.469822015978163</v>
      </c>
      <c r="D45">
        <v>0.5</v>
      </c>
      <c r="E45">
        <f t="shared" si="8"/>
        <v>-0.3010299956639812</v>
      </c>
      <c r="G45">
        <v>0.5</v>
      </c>
      <c r="H45">
        <v>295</v>
      </c>
      <c r="I45">
        <f t="shared" si="9"/>
        <v>0.1475</v>
      </c>
      <c r="J45">
        <f t="shared" si="10"/>
        <v>-0.8312079796858183</v>
      </c>
    </row>
    <row r="46" spans="1:10" ht="12.75">
      <c r="A46">
        <v>5</v>
      </c>
      <c r="B46">
        <v>421</v>
      </c>
      <c r="C46">
        <v>2.6242820958356683</v>
      </c>
      <c r="D46">
        <v>22</v>
      </c>
      <c r="E46">
        <f t="shared" si="8"/>
        <v>1.3424226808222062</v>
      </c>
      <c r="G46">
        <v>22</v>
      </c>
      <c r="H46">
        <v>421</v>
      </c>
      <c r="I46">
        <f t="shared" si="9"/>
        <v>9.262</v>
      </c>
      <c r="J46">
        <f t="shared" si="10"/>
        <v>0.9667047766578746</v>
      </c>
    </row>
    <row r="47" spans="1:10" ht="12.75">
      <c r="A47">
        <v>6</v>
      </c>
      <c r="B47">
        <v>517</v>
      </c>
      <c r="C47">
        <v>2.7134905430939424</v>
      </c>
      <c r="D47">
        <v>3.4</v>
      </c>
      <c r="E47">
        <f t="shared" si="8"/>
        <v>0.5314789170422551</v>
      </c>
      <c r="G47">
        <v>3.4</v>
      </c>
      <c r="H47">
        <v>517</v>
      </c>
      <c r="I47">
        <f t="shared" si="9"/>
        <v>1.7578</v>
      </c>
      <c r="J47">
        <f t="shared" si="10"/>
        <v>0.24496946013619764</v>
      </c>
    </row>
    <row r="48" spans="1:10" ht="12.75">
      <c r="A48">
        <v>7</v>
      </c>
      <c r="B48">
        <v>383</v>
      </c>
      <c r="C48">
        <v>2.583198773968623</v>
      </c>
      <c r="D48">
        <v>3.2</v>
      </c>
      <c r="E48">
        <f t="shared" si="8"/>
        <v>0.505149978319906</v>
      </c>
      <c r="G48">
        <v>3.2</v>
      </c>
      <c r="H48">
        <v>383</v>
      </c>
      <c r="I48">
        <f t="shared" si="9"/>
        <v>1.2256000000000002</v>
      </c>
      <c r="J48">
        <f t="shared" si="10"/>
        <v>0.0883487522885288</v>
      </c>
    </row>
    <row r="49" spans="1:10" ht="12.75">
      <c r="A49">
        <v>8</v>
      </c>
      <c r="B49">
        <v>493</v>
      </c>
      <c r="C49">
        <v>2.69284691927723</v>
      </c>
      <c r="D49">
        <v>8.6</v>
      </c>
      <c r="E49">
        <f t="shared" si="8"/>
        <v>0.9344984512435677</v>
      </c>
      <c r="G49">
        <v>8.6</v>
      </c>
      <c r="H49">
        <v>493</v>
      </c>
      <c r="I49">
        <f t="shared" si="9"/>
        <v>4.2398</v>
      </c>
      <c r="J49">
        <f t="shared" si="10"/>
        <v>0.6273453705207978</v>
      </c>
    </row>
    <row r="50" spans="1:10" ht="12.75">
      <c r="A50">
        <v>9</v>
      </c>
      <c r="B50">
        <v>413</v>
      </c>
      <c r="C50">
        <v>2.615950051656401</v>
      </c>
      <c r="D50">
        <v>10.4</v>
      </c>
      <c r="E50">
        <f t="shared" si="8"/>
        <v>1.0170333392987803</v>
      </c>
      <c r="G50">
        <v>10.4</v>
      </c>
      <c r="H50">
        <v>413</v>
      </c>
      <c r="I50">
        <f t="shared" si="9"/>
        <v>4.2951999999999995</v>
      </c>
      <c r="J50">
        <f t="shared" si="10"/>
        <v>0.6329833909551813</v>
      </c>
    </row>
    <row r="51" spans="1:10" ht="12.75">
      <c r="A51">
        <v>10</v>
      </c>
      <c r="B51">
        <v>412</v>
      </c>
      <c r="C51">
        <v>2.6148972160331345</v>
      </c>
      <c r="D51">
        <v>21.2</v>
      </c>
      <c r="E51">
        <f t="shared" si="8"/>
        <v>1.3263358609287514</v>
      </c>
      <c r="G51">
        <v>21.2</v>
      </c>
      <c r="H51">
        <v>412</v>
      </c>
      <c r="I51">
        <f t="shared" si="9"/>
        <v>8.734399999999999</v>
      </c>
      <c r="J51">
        <f t="shared" si="10"/>
        <v>0.941233076961886</v>
      </c>
    </row>
    <row r="52" spans="1:10" ht="12.75">
      <c r="A52">
        <v>11</v>
      </c>
      <c r="B52">
        <v>444</v>
      </c>
      <c r="C52">
        <v>2.6473829701146196</v>
      </c>
      <c r="D52">
        <v>16.2</v>
      </c>
      <c r="E52">
        <f t="shared" si="8"/>
        <v>1.209515014542631</v>
      </c>
      <c r="G52">
        <v>16.2</v>
      </c>
      <c r="H52">
        <v>444</v>
      </c>
      <c r="I52">
        <f t="shared" si="9"/>
        <v>7.192799999999999</v>
      </c>
      <c r="J52">
        <f t="shared" si="10"/>
        <v>0.8568979846572508</v>
      </c>
    </row>
    <row r="53" spans="1:10" ht="12.75">
      <c r="A53">
        <v>12</v>
      </c>
      <c r="B53">
        <v>275</v>
      </c>
      <c r="C53">
        <v>2.439332693830263</v>
      </c>
      <c r="D53">
        <v>24.2</v>
      </c>
      <c r="E53">
        <f t="shared" si="8"/>
        <v>1.3838153659804313</v>
      </c>
      <c r="G53">
        <v>24.2</v>
      </c>
      <c r="H53">
        <v>275</v>
      </c>
      <c r="I53">
        <f t="shared" si="9"/>
        <v>6.655</v>
      </c>
      <c r="J53">
        <f t="shared" si="10"/>
        <v>0.8231480598106939</v>
      </c>
    </row>
    <row r="54" spans="1:10" ht="12.75">
      <c r="A54">
        <v>13</v>
      </c>
      <c r="B54">
        <v>435</v>
      </c>
      <c r="C54">
        <v>2.6384892569546374</v>
      </c>
      <c r="D54">
        <v>61</v>
      </c>
      <c r="E54">
        <f t="shared" si="8"/>
        <v>1.7853298350107671</v>
      </c>
      <c r="G54">
        <v>61</v>
      </c>
      <c r="H54">
        <v>435</v>
      </c>
      <c r="I54">
        <f t="shared" si="9"/>
        <v>26.535</v>
      </c>
      <c r="J54">
        <f t="shared" si="10"/>
        <v>1.4238190919654043</v>
      </c>
    </row>
    <row r="55" spans="1:10" ht="12.75">
      <c r="A55">
        <v>14</v>
      </c>
      <c r="B55">
        <v>470</v>
      </c>
      <c r="C55">
        <v>2.6720978579357175</v>
      </c>
      <c r="D55">
        <v>17.4</v>
      </c>
      <c r="E55">
        <f t="shared" si="8"/>
        <v>1.2405492482825997</v>
      </c>
      <c r="G55">
        <v>17.4</v>
      </c>
      <c r="H55">
        <v>470</v>
      </c>
      <c r="I55">
        <f t="shared" si="9"/>
        <v>8.177999999999999</v>
      </c>
      <c r="J55">
        <f t="shared" si="10"/>
        <v>0.9126471062183171</v>
      </c>
    </row>
    <row r="56" spans="1:9" ht="12.75">
      <c r="A56">
        <v>15</v>
      </c>
      <c r="B56" t="s">
        <v>1120</v>
      </c>
      <c r="D56">
        <v>3.8</v>
      </c>
      <c r="E56">
        <f t="shared" si="8"/>
        <v>0.5797835966168101</v>
      </c>
      <c r="G56">
        <v>3.8</v>
      </c>
      <c r="H56" t="s">
        <v>1120</v>
      </c>
      <c r="I56" t="e">
        <f t="shared" si="9"/>
        <v>#VALUE!</v>
      </c>
    </row>
    <row r="57" spans="1:10" ht="12.75">
      <c r="A57">
        <v>16</v>
      </c>
      <c r="B57">
        <v>379</v>
      </c>
      <c r="C57">
        <v>2.578639209968072</v>
      </c>
      <c r="D57">
        <v>8.8</v>
      </c>
      <c r="E57">
        <f t="shared" si="8"/>
        <v>0.9444826721501687</v>
      </c>
      <c r="G57">
        <v>8.8</v>
      </c>
      <c r="H57">
        <v>379</v>
      </c>
      <c r="I57">
        <f t="shared" si="9"/>
        <v>3.3352000000000004</v>
      </c>
      <c r="J57">
        <f t="shared" si="10"/>
        <v>0.5231218821182411</v>
      </c>
    </row>
    <row r="59" spans="2:10" ht="12.75">
      <c r="B59">
        <f>AVERAGE(B42:B57)</f>
        <v>409.06666666666666</v>
      </c>
      <c r="C59">
        <f>AVERAGE(C42:C57)</f>
        <v>2.60598364748293</v>
      </c>
      <c r="D59">
        <f>AVERAGE(D42:D57)</f>
        <v>15.74375</v>
      </c>
      <c r="E59">
        <f>AVERAGE(E42:E57)</f>
        <v>1.0019919167156355</v>
      </c>
      <c r="J59">
        <f>AVERAGE(J42:J57)</f>
        <v>0.6361227855384874</v>
      </c>
    </row>
    <row r="60" spans="2:10" ht="12.75">
      <c r="B60" s="1">
        <f>STDEV(B42:B57)</f>
        <v>66.31361276612233</v>
      </c>
      <c r="C60" s="1">
        <f>STDEV(C42:C57)</f>
        <v>0.07533315860642074</v>
      </c>
      <c r="D60" s="1">
        <f>STDEV(D42:D57)</f>
        <v>14.704283672907472</v>
      </c>
      <c r="E60" s="1">
        <f>STDEV(E42:E57)</f>
        <v>0.49406811576098136</v>
      </c>
      <c r="J60">
        <f>STDEV(J42:J57)</f>
        <v>0.5188097388449584</v>
      </c>
    </row>
    <row r="61" spans="2:5" ht="12.75">
      <c r="B61">
        <f>COUNT(B42:B57)</f>
        <v>15</v>
      </c>
      <c r="C61">
        <f>COUNT(C42:C57)</f>
        <v>15</v>
      </c>
      <c r="D61">
        <f>COUNT(D42:D57)</f>
        <v>16</v>
      </c>
      <c r="E61">
        <f>COUNT(E42:E57)</f>
        <v>16</v>
      </c>
    </row>
  </sheetData>
  <printOptions/>
  <pageMargins left="0.75" right="0.75" top="1" bottom="1" header="0.5" footer="0.5"/>
  <pageSetup orientation="portrait"/>
  <drawing r:id="rId1"/>
</worksheet>
</file>

<file path=xl/worksheets/sheet30.xml><?xml version="1.0" encoding="utf-8"?>
<worksheet xmlns="http://schemas.openxmlformats.org/spreadsheetml/2006/main" xmlns:r="http://schemas.openxmlformats.org/officeDocument/2006/relationships">
  <dimension ref="A1:BF55"/>
  <sheetViews>
    <sheetView workbookViewId="0" topLeftCell="A13">
      <selection activeCell="L16" sqref="L16:M16"/>
    </sheetView>
  </sheetViews>
  <sheetFormatPr defaultColWidth="9.140625" defaultRowHeight="12.75"/>
  <cols>
    <col min="1" max="1" width="8.8515625" style="0" customWidth="1"/>
    <col min="2" max="2" width="41.140625" style="0" customWidth="1"/>
    <col min="3" max="3" width="15.8515625" style="0" customWidth="1"/>
    <col min="4" max="4" width="11.421875" style="0" bestFit="1" customWidth="1"/>
    <col min="5" max="5" width="17.421875" style="0" customWidth="1"/>
    <col min="6" max="6" width="16.7109375" style="0" customWidth="1"/>
    <col min="7" max="8" width="8.8515625" style="0" customWidth="1"/>
    <col min="9" max="9" width="16.00390625" style="0" customWidth="1"/>
    <col min="10" max="11" width="8.8515625" style="0" customWidth="1"/>
    <col min="12" max="12" width="19.28125" style="0" customWidth="1"/>
    <col min="13" max="13" width="20.00390625" style="0" customWidth="1"/>
    <col min="14" max="14" width="15.8515625" style="0" customWidth="1"/>
    <col min="15" max="15" width="12.140625" style="0" customWidth="1"/>
    <col min="16" max="23" width="8.8515625" style="0" customWidth="1"/>
    <col min="24" max="24" width="17.7109375" style="0" customWidth="1"/>
    <col min="25" max="25" width="19.7109375" style="0" customWidth="1"/>
    <col min="26" max="26" width="14.7109375" style="0" customWidth="1"/>
    <col min="27" max="31" width="8.8515625" style="0" customWidth="1"/>
    <col min="32" max="32" width="16.28125" style="0" customWidth="1"/>
    <col min="33" max="33" width="7.00390625" style="0" customWidth="1"/>
    <col min="34" max="35" width="8.8515625" style="0" customWidth="1"/>
    <col min="36" max="36" width="14.140625" style="0" customWidth="1"/>
    <col min="37" max="37" width="7.00390625" style="0" customWidth="1"/>
    <col min="38" max="40" width="8.8515625" style="0" customWidth="1"/>
    <col min="41" max="41" width="17.140625" style="0" customWidth="1"/>
    <col min="42" max="42" width="9.00390625" style="0" customWidth="1"/>
    <col min="43" max="46" width="8.8515625" style="0" customWidth="1"/>
    <col min="47" max="47" width="41.8515625" style="0" customWidth="1"/>
    <col min="48" max="48" width="9.00390625" style="0" customWidth="1"/>
    <col min="49" max="50" width="8.8515625" style="0" customWidth="1"/>
    <col min="51" max="52" width="13.140625" style="0" customWidth="1"/>
    <col min="53" max="16384" width="8.8515625" style="0" customWidth="1"/>
  </cols>
  <sheetData>
    <row r="1" spans="1:17" ht="63.75">
      <c r="A1" s="7" t="s">
        <v>69</v>
      </c>
      <c r="B1" s="7" t="s">
        <v>57</v>
      </c>
      <c r="C1" s="7" t="s">
        <v>58</v>
      </c>
      <c r="D1" s="7" t="s">
        <v>59</v>
      </c>
      <c r="E1" s="7" t="s">
        <v>60</v>
      </c>
      <c r="F1" s="7" t="s">
        <v>92</v>
      </c>
      <c r="G1" s="7" t="s">
        <v>61</v>
      </c>
      <c r="H1" s="7" t="s">
        <v>62</v>
      </c>
      <c r="I1" s="7" t="s">
        <v>63</v>
      </c>
      <c r="J1" s="8" t="s">
        <v>64</v>
      </c>
      <c r="K1" s="8" t="s">
        <v>138</v>
      </c>
      <c r="L1" s="7" t="s">
        <v>1126</v>
      </c>
      <c r="M1" s="7" t="s">
        <v>1127</v>
      </c>
      <c r="N1" s="7" t="s">
        <v>66</v>
      </c>
      <c r="O1" s="7" t="s">
        <v>85</v>
      </c>
      <c r="P1" s="7" t="s">
        <v>67</v>
      </c>
      <c r="Q1" s="7" t="s">
        <v>68</v>
      </c>
    </row>
    <row r="2" spans="2:16" s="10" customFormat="1" ht="82.5" customHeight="1">
      <c r="B2" s="10" t="s">
        <v>1054</v>
      </c>
      <c r="D2" s="10" t="s">
        <v>126</v>
      </c>
      <c r="E2" s="10" t="s">
        <v>941</v>
      </c>
      <c r="F2" s="10" t="s">
        <v>1068</v>
      </c>
      <c r="G2" s="10" t="s">
        <v>102</v>
      </c>
      <c r="H2" s="10" t="s">
        <v>94</v>
      </c>
      <c r="I2" s="10" t="s">
        <v>1065</v>
      </c>
      <c r="J2" s="14">
        <v>0.1598448328589221</v>
      </c>
      <c r="K2" s="14">
        <v>0.332740563676516</v>
      </c>
      <c r="L2" s="18" t="s">
        <v>931</v>
      </c>
      <c r="N2" s="10" t="s">
        <v>1069</v>
      </c>
      <c r="O2" s="10">
        <v>0.9405</v>
      </c>
      <c r="P2" s="10">
        <v>35</v>
      </c>
    </row>
    <row r="3" spans="2:16" ht="59.25" customHeight="1">
      <c r="B3" s="10" t="s">
        <v>1054</v>
      </c>
      <c r="D3" t="s">
        <v>126</v>
      </c>
      <c r="E3" s="10" t="s">
        <v>941</v>
      </c>
      <c r="F3" s="10" t="s">
        <v>1068</v>
      </c>
      <c r="G3" s="10" t="s">
        <v>102</v>
      </c>
      <c r="H3" s="10" t="s">
        <v>94</v>
      </c>
      <c r="I3" s="10" t="s">
        <v>1065</v>
      </c>
      <c r="J3" s="1">
        <v>0.17800587942852877</v>
      </c>
      <c r="K3" s="1">
        <v>0.3281082406690957</v>
      </c>
      <c r="L3" s="18" t="s">
        <v>931</v>
      </c>
      <c r="N3" s="10" t="s">
        <v>1069</v>
      </c>
      <c r="O3">
        <v>0.974</v>
      </c>
      <c r="P3" t="s">
        <v>950</v>
      </c>
    </row>
    <row r="4" spans="2:15" ht="63.75">
      <c r="B4" s="10" t="s">
        <v>1054</v>
      </c>
      <c r="D4" t="s">
        <v>93</v>
      </c>
      <c r="E4" t="s">
        <v>942</v>
      </c>
      <c r="F4" s="10" t="s">
        <v>1068</v>
      </c>
      <c r="G4" t="s">
        <v>102</v>
      </c>
      <c r="H4" t="s">
        <v>94</v>
      </c>
      <c r="I4" t="s">
        <v>944</v>
      </c>
      <c r="J4">
        <v>0.17099906863545225</v>
      </c>
      <c r="K4" s="1">
        <v>0.33055626484313205</v>
      </c>
      <c r="L4" s="18" t="s">
        <v>931</v>
      </c>
      <c r="N4" s="10" t="s">
        <v>1069</v>
      </c>
      <c r="O4">
        <v>0.977</v>
      </c>
    </row>
    <row r="5" spans="2:17" ht="127.5">
      <c r="B5" s="10" t="s">
        <v>1054</v>
      </c>
      <c r="D5" t="s">
        <v>121</v>
      </c>
      <c r="E5" s="10" t="s">
        <v>941</v>
      </c>
      <c r="F5" s="10" t="s">
        <v>1068</v>
      </c>
      <c r="G5" t="s">
        <v>102</v>
      </c>
      <c r="H5" t="s">
        <v>94</v>
      </c>
      <c r="I5" t="s">
        <v>833</v>
      </c>
      <c r="J5">
        <v>0.22166929341441977</v>
      </c>
      <c r="K5" s="1">
        <v>0.562796923654943</v>
      </c>
      <c r="L5" s="18" t="s">
        <v>931</v>
      </c>
      <c r="N5" s="10" t="s">
        <v>95</v>
      </c>
      <c r="O5">
        <v>0.9773</v>
      </c>
      <c r="P5">
        <v>34</v>
      </c>
      <c r="Q5" t="s">
        <v>943</v>
      </c>
    </row>
    <row r="6" spans="11:14" ht="12.75">
      <c r="K6" s="1"/>
      <c r="L6" s="1"/>
      <c r="N6" s="10"/>
    </row>
    <row r="7" spans="4:14" ht="12.75">
      <c r="D7" t="s">
        <v>835</v>
      </c>
      <c r="E7" s="10" t="s">
        <v>836</v>
      </c>
      <c r="F7" s="10" t="s">
        <v>837</v>
      </c>
      <c r="K7" s="1"/>
      <c r="L7" s="1"/>
      <c r="N7" s="10"/>
    </row>
    <row r="8" spans="2:14" ht="12.75">
      <c r="B8" s="10" t="s">
        <v>834</v>
      </c>
      <c r="C8" t="s">
        <v>126</v>
      </c>
      <c r="D8">
        <v>3.4</v>
      </c>
      <c r="E8">
        <v>1.1</v>
      </c>
      <c r="F8" s="10" t="s">
        <v>838</v>
      </c>
      <c r="K8" s="1"/>
      <c r="L8" s="1"/>
      <c r="N8" s="10"/>
    </row>
    <row r="9" spans="3:6" ht="12.75">
      <c r="C9" t="s">
        <v>93</v>
      </c>
      <c r="D9">
        <v>4.4</v>
      </c>
      <c r="E9">
        <v>2.6</v>
      </c>
      <c r="F9" s="10" t="s">
        <v>839</v>
      </c>
    </row>
    <row r="10" spans="3:6" ht="12.75">
      <c r="C10" t="s">
        <v>121</v>
      </c>
      <c r="D10">
        <v>3.3</v>
      </c>
      <c r="E10">
        <v>1.3</v>
      </c>
      <c r="F10" s="10" t="s">
        <v>840</v>
      </c>
    </row>
    <row r="12" spans="3:7" ht="12.75">
      <c r="C12" s="10"/>
      <c r="D12" s="10"/>
      <c r="E12" s="10"/>
      <c r="F12" s="10"/>
      <c r="G12" s="10"/>
    </row>
    <row r="13" spans="3:24" ht="38.25">
      <c r="C13" s="10"/>
      <c r="D13" s="10" t="s">
        <v>1064</v>
      </c>
      <c r="E13" s="10" t="s">
        <v>126</v>
      </c>
      <c r="F13" s="10"/>
      <c r="G13" s="10"/>
      <c r="X13" t="s">
        <v>958</v>
      </c>
    </row>
    <row r="14" spans="3:57" ht="25.5">
      <c r="C14" s="10"/>
      <c r="D14" s="10"/>
      <c r="E14" s="10" t="s">
        <v>1062</v>
      </c>
      <c r="F14" s="10"/>
      <c r="G14" s="10"/>
      <c r="O14" t="s">
        <v>1070</v>
      </c>
      <c r="P14" t="s">
        <v>1070</v>
      </c>
      <c r="X14" t="s">
        <v>192</v>
      </c>
      <c r="Y14" t="s">
        <v>951</v>
      </c>
      <c r="AA14" t="s">
        <v>1066</v>
      </c>
      <c r="AB14" t="s">
        <v>188</v>
      </c>
      <c r="AF14" t="s">
        <v>952</v>
      </c>
      <c r="AJ14" t="s">
        <v>953</v>
      </c>
      <c r="AO14" t="s">
        <v>954</v>
      </c>
      <c r="BA14" t="s">
        <v>956</v>
      </c>
      <c r="BE14" t="s">
        <v>957</v>
      </c>
    </row>
    <row r="15" spans="2:57" ht="51">
      <c r="B15" t="s">
        <v>99</v>
      </c>
      <c r="C15" s="10" t="s">
        <v>190</v>
      </c>
      <c r="D15" s="10" t="s">
        <v>192</v>
      </c>
      <c r="E15" s="10" t="s">
        <v>1063</v>
      </c>
      <c r="F15" s="10" t="s">
        <v>188</v>
      </c>
      <c r="G15" s="10" t="s">
        <v>1066</v>
      </c>
      <c r="H15" s="10" t="s">
        <v>1067</v>
      </c>
      <c r="L15" t="s">
        <v>99</v>
      </c>
      <c r="M15" t="s">
        <v>190</v>
      </c>
      <c r="O15" s="10" t="s">
        <v>1063</v>
      </c>
      <c r="P15" t="s">
        <v>1071</v>
      </c>
      <c r="Q15" t="s">
        <v>188</v>
      </c>
      <c r="V15" t="s">
        <v>99</v>
      </c>
      <c r="W15" t="s">
        <v>190</v>
      </c>
      <c r="AO15" t="s">
        <v>192</v>
      </c>
      <c r="AP15" t="s">
        <v>955</v>
      </c>
      <c r="AR15" t="s">
        <v>945</v>
      </c>
      <c r="AW15" t="s">
        <v>1052</v>
      </c>
      <c r="AY15" t="s">
        <v>1052</v>
      </c>
      <c r="BA15" t="s">
        <v>955</v>
      </c>
      <c r="BE15" t="s">
        <v>955</v>
      </c>
    </row>
    <row r="16" spans="1:58" ht="12.75">
      <c r="A16">
        <v>1</v>
      </c>
      <c r="B16">
        <f>(A16-3/8)/35.25</f>
        <v>0.01773049645390071</v>
      </c>
      <c r="C16">
        <f aca="true" t="shared" si="0" ref="C16:C50">NORMSINV(B16)</f>
        <v>-2.1030532090699507</v>
      </c>
      <c r="D16" s="10">
        <v>22.3176</v>
      </c>
      <c r="E16" s="10">
        <v>98.33</v>
      </c>
      <c r="F16" s="10">
        <f aca="true" t="shared" si="1" ref="F16:F50">LOG(E16)</f>
        <v>1.992686039162128</v>
      </c>
      <c r="G16">
        <v>14.7021</v>
      </c>
      <c r="H16" s="10">
        <f aca="true" t="shared" si="2" ref="H16:H50">LOG(G16)</f>
        <v>1.167379372385865</v>
      </c>
      <c r="K16">
        <v>1</v>
      </c>
      <c r="L16">
        <f>(K16-3/8)/15.25</f>
        <v>0.040983606557377046</v>
      </c>
      <c r="M16">
        <f aca="true" t="shared" si="3" ref="M16:M30">NORMSINV(L16)</f>
        <v>-1.739383692290453</v>
      </c>
      <c r="O16">
        <v>60.8508</v>
      </c>
      <c r="P16">
        <v>13.2896</v>
      </c>
      <c r="Q16">
        <f>LOG(P16)</f>
        <v>1.123511909429784</v>
      </c>
      <c r="U16">
        <v>1</v>
      </c>
      <c r="V16">
        <f>(U16-3/8)/31.25</f>
        <v>0.02</v>
      </c>
      <c r="W16">
        <f aca="true" t="shared" si="4" ref="W16:W46">NORMSINV(V16)</f>
        <v>-2.0537475189510443</v>
      </c>
      <c r="X16">
        <v>70.7079</v>
      </c>
      <c r="Y16">
        <v>4.0884</v>
      </c>
      <c r="AA16">
        <v>1.7898</v>
      </c>
      <c r="AB16">
        <f>LOG(AA16)</f>
        <v>0.25280450374570634</v>
      </c>
      <c r="AG16">
        <v>1.8994</v>
      </c>
      <c r="AK16">
        <v>8.4156</v>
      </c>
      <c r="AO16">
        <v>22.3106</v>
      </c>
      <c r="AP16">
        <v>122.1422</v>
      </c>
      <c r="AR16">
        <f>LOG(AP16)</f>
        <v>2.086865738152523</v>
      </c>
      <c r="AU16" t="s">
        <v>99</v>
      </c>
      <c r="AV16" s="10" t="s">
        <v>190</v>
      </c>
      <c r="AW16" t="s">
        <v>955</v>
      </c>
      <c r="AY16" t="s">
        <v>945</v>
      </c>
      <c r="BB16">
        <v>113.3998</v>
      </c>
      <c r="BF16">
        <v>90.8241</v>
      </c>
    </row>
    <row r="17" spans="1:58" ht="12.75">
      <c r="A17">
        <v>2</v>
      </c>
      <c r="B17">
        <f aca="true" t="shared" si="5" ref="B17:B50">(A17-3/8)/35.25</f>
        <v>0.04609929078014184</v>
      </c>
      <c r="C17">
        <f t="shared" si="0"/>
        <v>-1.6839122172884804</v>
      </c>
      <c r="D17">
        <v>2.6637</v>
      </c>
      <c r="E17">
        <v>61.562</v>
      </c>
      <c r="F17" s="10">
        <f t="shared" si="1"/>
        <v>1.7893127205625352</v>
      </c>
      <c r="G17">
        <v>18.8804</v>
      </c>
      <c r="H17" s="10">
        <f t="shared" si="2"/>
        <v>1.2760111910188594</v>
      </c>
      <c r="K17">
        <v>2</v>
      </c>
      <c r="L17">
        <f aca="true" t="shared" si="6" ref="L17:L30">(K17-3/8)/15.25</f>
        <v>0.10655737704918032</v>
      </c>
      <c r="M17">
        <f t="shared" si="3"/>
        <v>-1.2450465937106348</v>
      </c>
      <c r="O17">
        <v>59.0121</v>
      </c>
      <c r="P17">
        <v>21.8624</v>
      </c>
      <c r="Q17">
        <f aca="true" t="shared" si="7" ref="Q17:Q30">LOG(P17)</f>
        <v>1.3396978360008547</v>
      </c>
      <c r="U17">
        <v>2</v>
      </c>
      <c r="V17">
        <f aca="true" t="shared" si="8" ref="V17:V46">(U17-3/8)/31.25</f>
        <v>0.052</v>
      </c>
      <c r="W17">
        <f t="shared" si="4"/>
        <v>-1.6257632924497036</v>
      </c>
      <c r="X17">
        <v>72.8216</v>
      </c>
      <c r="Y17">
        <v>2.8236</v>
      </c>
      <c r="AA17">
        <v>2.8236</v>
      </c>
      <c r="AB17">
        <f aca="true" t="shared" si="9" ref="AB17:AB46">LOG(AA17)</f>
        <v>0.4508031732236461</v>
      </c>
      <c r="AG17">
        <v>0.9096</v>
      </c>
      <c r="AK17">
        <v>8.2208</v>
      </c>
      <c r="AO17">
        <v>27.9503</v>
      </c>
      <c r="AP17">
        <v>78.27</v>
      </c>
      <c r="AR17">
        <f aca="true" t="shared" si="10" ref="AR17:AR49">LOG(AP17)</f>
        <v>1.8935953338198832</v>
      </c>
      <c r="AT17">
        <v>1</v>
      </c>
      <c r="AU17">
        <f>(AT17-3/8)/34.25</f>
        <v>0.01824817518248175</v>
      </c>
      <c r="AV17">
        <f aca="true" t="shared" si="11" ref="AV17:AV50">NORMSINV(AU17)</f>
        <v>-2.0913524813253197</v>
      </c>
      <c r="AW17">
        <v>12.992</v>
      </c>
      <c r="AY17">
        <f>LOG(AW17)</f>
        <v>1.1136760118971</v>
      </c>
      <c r="BB17">
        <v>70.6832</v>
      </c>
      <c r="BF17">
        <v>58.5476</v>
      </c>
    </row>
    <row r="18" spans="1:58" ht="12.75">
      <c r="A18">
        <v>3</v>
      </c>
      <c r="B18">
        <f t="shared" si="5"/>
        <v>0.07446808510638298</v>
      </c>
      <c r="C18">
        <f t="shared" si="0"/>
        <v>-1.443299625520246</v>
      </c>
      <c r="D18">
        <v>7.1473</v>
      </c>
      <c r="E18">
        <v>59.6247</v>
      </c>
      <c r="F18" s="10">
        <f t="shared" si="1"/>
        <v>1.7754262069132045</v>
      </c>
      <c r="G18">
        <v>24.5861</v>
      </c>
      <c r="H18" s="10">
        <f t="shared" si="2"/>
        <v>1.3906896437119267</v>
      </c>
      <c r="K18">
        <v>3</v>
      </c>
      <c r="L18">
        <f t="shared" si="6"/>
        <v>0.1721311475409836</v>
      </c>
      <c r="M18">
        <f t="shared" si="3"/>
        <v>-0.9457770244458972</v>
      </c>
      <c r="O18">
        <v>53.6335</v>
      </c>
      <c r="P18">
        <v>27.6711</v>
      </c>
      <c r="Q18">
        <f t="shared" si="7"/>
        <v>1.4420264238476583</v>
      </c>
      <c r="U18">
        <v>3</v>
      </c>
      <c r="V18">
        <f t="shared" si="8"/>
        <v>0.084</v>
      </c>
      <c r="W18">
        <f t="shared" si="4"/>
        <v>-1.3786590913461043</v>
      </c>
      <c r="X18">
        <v>80.2677</v>
      </c>
      <c r="Y18">
        <v>1.7898</v>
      </c>
      <c r="AA18">
        <v>4.0884</v>
      </c>
      <c r="AB18">
        <f t="shared" si="9"/>
        <v>0.6115533796155023</v>
      </c>
      <c r="AG18">
        <v>0.4164</v>
      </c>
      <c r="AK18">
        <v>8.148</v>
      </c>
      <c r="AO18">
        <v>15.8622</v>
      </c>
      <c r="AP18">
        <v>60.5506</v>
      </c>
      <c r="AR18">
        <f t="shared" si="10"/>
        <v>1.782118450953854</v>
      </c>
      <c r="AT18">
        <v>2</v>
      </c>
      <c r="AU18">
        <f aca="true" t="shared" si="12" ref="AU18:AU50">(AT18-3/8)/34.25</f>
        <v>0.04744525547445255</v>
      </c>
      <c r="AV18">
        <f t="shared" si="11"/>
        <v>-1.6701456170803617</v>
      </c>
      <c r="AW18">
        <v>13.6268</v>
      </c>
      <c r="AY18">
        <f aca="true" t="shared" si="13" ref="AY18:AY50">LOG(AW18)</f>
        <v>1.1343938818429742</v>
      </c>
      <c r="BB18">
        <v>37.8793</v>
      </c>
      <c r="BF18">
        <v>53.2203</v>
      </c>
    </row>
    <row r="19" spans="1:58" ht="12.75">
      <c r="A19">
        <v>4</v>
      </c>
      <c r="B19">
        <f t="shared" si="5"/>
        <v>0.10283687943262411</v>
      </c>
      <c r="C19">
        <f t="shared" si="0"/>
        <v>-1.265551700801451</v>
      </c>
      <c r="D19">
        <v>7.6117</v>
      </c>
      <c r="E19">
        <v>56.3483</v>
      </c>
      <c r="F19" s="10">
        <f t="shared" si="1"/>
        <v>1.7508808181326807</v>
      </c>
      <c r="G19">
        <v>30.2856</v>
      </c>
      <c r="H19" s="10">
        <f t="shared" si="2"/>
        <v>1.481236182064301</v>
      </c>
      <c r="K19">
        <v>4</v>
      </c>
      <c r="L19">
        <f t="shared" si="6"/>
        <v>0.23770491803278687</v>
      </c>
      <c r="M19">
        <f t="shared" si="3"/>
        <v>-0.7137044010208542</v>
      </c>
      <c r="O19">
        <v>50.9708</v>
      </c>
      <c r="P19">
        <v>31.1094</v>
      </c>
      <c r="Q19">
        <f t="shared" si="7"/>
        <v>1.4928916350494952</v>
      </c>
      <c r="U19">
        <v>4</v>
      </c>
      <c r="V19">
        <f t="shared" si="8"/>
        <v>0.116</v>
      </c>
      <c r="W19">
        <f t="shared" si="4"/>
        <v>-1.195223093192288</v>
      </c>
      <c r="X19">
        <v>61.6142</v>
      </c>
      <c r="Y19">
        <v>4.7618</v>
      </c>
      <c r="AA19">
        <v>4.2474</v>
      </c>
      <c r="AB19">
        <f t="shared" si="9"/>
        <v>0.6281231627124937</v>
      </c>
      <c r="AG19">
        <v>0.4205</v>
      </c>
      <c r="AK19">
        <v>8.0259</v>
      </c>
      <c r="AO19">
        <v>79.365</v>
      </c>
      <c r="AP19">
        <v>86.0506</v>
      </c>
      <c r="AR19">
        <f t="shared" si="10"/>
        <v>1.9347539028539416</v>
      </c>
      <c r="AT19">
        <v>3</v>
      </c>
      <c r="AU19">
        <f t="shared" si="12"/>
        <v>0.07664233576642336</v>
      </c>
      <c r="AV19">
        <f t="shared" si="11"/>
        <v>-1.428025290089057</v>
      </c>
      <c r="AW19">
        <v>16.4282</v>
      </c>
      <c r="AY19">
        <f t="shared" si="13"/>
        <v>1.215589981396593</v>
      </c>
      <c r="BB19">
        <v>36.2972</v>
      </c>
      <c r="BF19">
        <v>51.5846</v>
      </c>
    </row>
    <row r="20" spans="1:58" ht="12.75">
      <c r="A20">
        <v>5</v>
      </c>
      <c r="B20">
        <f t="shared" si="5"/>
        <v>0.13120567375886524</v>
      </c>
      <c r="C20">
        <f t="shared" si="0"/>
        <v>-1.120710162371561</v>
      </c>
      <c r="D20">
        <v>4.1476</v>
      </c>
      <c r="E20">
        <v>56.1179</v>
      </c>
      <c r="F20" s="10">
        <f t="shared" si="1"/>
        <v>1.7491014108332252</v>
      </c>
      <c r="G20">
        <v>31.1394</v>
      </c>
      <c r="H20" s="10">
        <f t="shared" si="2"/>
        <v>1.4933102402423921</v>
      </c>
      <c r="K20">
        <v>5</v>
      </c>
      <c r="L20">
        <f t="shared" si="6"/>
        <v>0.30327868852459017</v>
      </c>
      <c r="M20">
        <f t="shared" si="3"/>
        <v>-0.514993724529283</v>
      </c>
      <c r="O20">
        <v>49.4123</v>
      </c>
      <c r="P20">
        <v>34.381</v>
      </c>
      <c r="Q20">
        <f t="shared" si="7"/>
        <v>1.5363185043512062</v>
      </c>
      <c r="U20">
        <v>5</v>
      </c>
      <c r="V20">
        <f t="shared" si="8"/>
        <v>0.148</v>
      </c>
      <c r="W20">
        <f t="shared" si="4"/>
        <v>-1.0450497979832858</v>
      </c>
      <c r="X20">
        <v>57.8239</v>
      </c>
      <c r="Y20">
        <v>5.0806</v>
      </c>
      <c r="AA20">
        <v>4.7618</v>
      </c>
      <c r="AB20">
        <f t="shared" si="9"/>
        <v>0.677771150682378</v>
      </c>
      <c r="AG20">
        <v>0.158</v>
      </c>
      <c r="AK20">
        <v>7.8833</v>
      </c>
      <c r="AO20">
        <v>68.8513</v>
      </c>
      <c r="AP20">
        <v>41.0208</v>
      </c>
      <c r="AR20">
        <f t="shared" si="10"/>
        <v>1.613004125856765</v>
      </c>
      <c r="AT20">
        <v>4</v>
      </c>
      <c r="AU20">
        <f t="shared" si="12"/>
        <v>0.10583941605839416</v>
      </c>
      <c r="AV20">
        <f t="shared" si="11"/>
        <v>-1.2489627423072562</v>
      </c>
      <c r="AW20">
        <v>16.8252</v>
      </c>
      <c r="AY20">
        <f t="shared" si="13"/>
        <v>1.225960235355458</v>
      </c>
      <c r="BB20">
        <v>26.751</v>
      </c>
      <c r="BF20">
        <v>49.6359</v>
      </c>
    </row>
    <row r="21" spans="1:58" ht="12.75">
      <c r="A21">
        <v>6</v>
      </c>
      <c r="B21">
        <f t="shared" si="5"/>
        <v>0.1595744680851064</v>
      </c>
      <c r="C21">
        <f t="shared" si="0"/>
        <v>-0.9962083411220801</v>
      </c>
      <c r="D21">
        <v>6.1042</v>
      </c>
      <c r="E21">
        <v>47.7962</v>
      </c>
      <c r="F21" s="10">
        <f t="shared" si="1"/>
        <v>1.679393369736948</v>
      </c>
      <c r="G21">
        <v>32.9956</v>
      </c>
      <c r="H21" s="10">
        <f t="shared" si="2"/>
        <v>1.5184560300862284</v>
      </c>
      <c r="K21">
        <v>6</v>
      </c>
      <c r="L21">
        <f t="shared" si="6"/>
        <v>0.36885245901639346</v>
      </c>
      <c r="M21">
        <f t="shared" si="3"/>
        <v>-0.3348943419500643</v>
      </c>
      <c r="O21">
        <v>47.419</v>
      </c>
      <c r="P21">
        <v>39.4429</v>
      </c>
      <c r="Q21">
        <f t="shared" si="7"/>
        <v>1.5959688385129955</v>
      </c>
      <c r="U21">
        <v>6</v>
      </c>
      <c r="V21">
        <f t="shared" si="8"/>
        <v>0.18</v>
      </c>
      <c r="W21">
        <f t="shared" si="4"/>
        <v>-0.9153649821073433</v>
      </c>
      <c r="X21">
        <v>49.7517</v>
      </c>
      <c r="Y21">
        <v>5.7675</v>
      </c>
      <c r="AA21">
        <v>5.0806</v>
      </c>
      <c r="AB21">
        <f t="shared" si="9"/>
        <v>0.7059150038787945</v>
      </c>
      <c r="AK21">
        <v>7.8803</v>
      </c>
      <c r="AO21">
        <v>68.8971</v>
      </c>
      <c r="AP21">
        <v>32.5238</v>
      </c>
      <c r="AR21">
        <f t="shared" si="10"/>
        <v>1.5122012817749793</v>
      </c>
      <c r="AT21">
        <v>5</v>
      </c>
      <c r="AU21">
        <f t="shared" si="12"/>
        <v>0.13503649635036497</v>
      </c>
      <c r="AV21">
        <f t="shared" si="11"/>
        <v>-1.1028946682282474</v>
      </c>
      <c r="AW21">
        <v>17.2509</v>
      </c>
      <c r="AY21">
        <f t="shared" si="13"/>
        <v>1.2368117576607474</v>
      </c>
      <c r="BB21">
        <v>11.511</v>
      </c>
      <c r="BF21">
        <v>46.3646</v>
      </c>
    </row>
    <row r="22" spans="1:58" ht="12.75">
      <c r="A22">
        <v>7</v>
      </c>
      <c r="B22">
        <f t="shared" si="5"/>
        <v>0.1879432624113475</v>
      </c>
      <c r="C22">
        <f t="shared" si="0"/>
        <v>-0.8855007732094777</v>
      </c>
      <c r="D22">
        <v>6.0464</v>
      </c>
      <c r="E22">
        <v>45.0057</v>
      </c>
      <c r="F22" s="10">
        <f t="shared" si="1"/>
        <v>1.6532675209260055</v>
      </c>
      <c r="G22">
        <v>35.4629</v>
      </c>
      <c r="H22" s="10">
        <f t="shared" si="2"/>
        <v>1.5497742474098457</v>
      </c>
      <c r="K22">
        <v>7</v>
      </c>
      <c r="L22">
        <f t="shared" si="6"/>
        <v>0.4344262295081967</v>
      </c>
      <c r="M22">
        <f t="shared" si="3"/>
        <v>-0.16511626513276895</v>
      </c>
      <c r="O22">
        <v>45.2758</v>
      </c>
      <c r="P22">
        <v>41.4726</v>
      </c>
      <c r="Q22">
        <f t="shared" si="7"/>
        <v>1.617761263004659</v>
      </c>
      <c r="U22">
        <v>7</v>
      </c>
      <c r="V22">
        <f t="shared" si="8"/>
        <v>0.212</v>
      </c>
      <c r="W22">
        <f t="shared" si="4"/>
        <v>-0.7995007196906758</v>
      </c>
      <c r="X22">
        <v>44.687</v>
      </c>
      <c r="Y22">
        <v>6.8266</v>
      </c>
      <c r="AA22">
        <v>5.102</v>
      </c>
      <c r="AB22">
        <f t="shared" si="9"/>
        <v>0.7077404542737713</v>
      </c>
      <c r="AK22">
        <v>7.631</v>
      </c>
      <c r="AO22">
        <v>70.954</v>
      </c>
      <c r="AP22">
        <v>13.6268</v>
      </c>
      <c r="AR22">
        <f t="shared" si="10"/>
        <v>1.1343938818429742</v>
      </c>
      <c r="AT22">
        <v>6</v>
      </c>
      <c r="AU22">
        <f t="shared" si="12"/>
        <v>0.16423357664233576</v>
      </c>
      <c r="AV22">
        <f t="shared" si="11"/>
        <v>-0.9772060374760962</v>
      </c>
      <c r="AW22">
        <v>18.7773</v>
      </c>
      <c r="AY22">
        <f t="shared" si="13"/>
        <v>1.273633144937483</v>
      </c>
      <c r="BF22">
        <v>39.035</v>
      </c>
    </row>
    <row r="23" spans="1:58" ht="12.75">
      <c r="A23">
        <v>8</v>
      </c>
      <c r="B23">
        <f t="shared" si="5"/>
        <v>0.21631205673758866</v>
      </c>
      <c r="C23">
        <f t="shared" si="0"/>
        <v>-0.7847089245983501</v>
      </c>
      <c r="D23">
        <v>15.4284</v>
      </c>
      <c r="E23">
        <v>35.4629</v>
      </c>
      <c r="F23" s="10">
        <f t="shared" si="1"/>
        <v>1.5497742474098457</v>
      </c>
      <c r="G23">
        <v>35.7353</v>
      </c>
      <c r="H23" s="10">
        <f t="shared" si="2"/>
        <v>1.5530974323808737</v>
      </c>
      <c r="K23">
        <v>8</v>
      </c>
      <c r="L23">
        <f t="shared" si="6"/>
        <v>0.5</v>
      </c>
      <c r="M23">
        <f t="shared" si="3"/>
        <v>5.471417352459603E-10</v>
      </c>
      <c r="O23">
        <v>43.4249</v>
      </c>
      <c r="P23">
        <v>43.4249</v>
      </c>
      <c r="Q23">
        <f t="shared" si="7"/>
        <v>1.6377388270155508</v>
      </c>
      <c r="U23">
        <v>8</v>
      </c>
      <c r="V23">
        <f t="shared" si="8"/>
        <v>0.244</v>
      </c>
      <c r="W23">
        <f t="shared" si="4"/>
        <v>-0.6934931125271351</v>
      </c>
      <c r="X23">
        <v>51.9275</v>
      </c>
      <c r="Y23">
        <v>5.1862</v>
      </c>
      <c r="AA23">
        <v>5.1862</v>
      </c>
      <c r="AB23">
        <f t="shared" si="9"/>
        <v>0.7148492608370255</v>
      </c>
      <c r="AK23">
        <v>7.5993</v>
      </c>
      <c r="AO23">
        <v>59.9524</v>
      </c>
      <c r="AP23">
        <v>50.6538</v>
      </c>
      <c r="AR23">
        <f t="shared" si="10"/>
        <v>1.7046120312782735</v>
      </c>
      <c r="AT23">
        <v>7</v>
      </c>
      <c r="AU23">
        <f t="shared" si="12"/>
        <v>0.19343065693430658</v>
      </c>
      <c r="AV23">
        <f t="shared" si="11"/>
        <v>-0.8653232266580919</v>
      </c>
      <c r="AW23">
        <v>23.0779</v>
      </c>
      <c r="AY23">
        <f t="shared" si="13"/>
        <v>1.363196287156752</v>
      </c>
      <c r="BF23">
        <v>37.3993</v>
      </c>
    </row>
    <row r="24" spans="1:58" ht="12.75">
      <c r="A24">
        <v>9</v>
      </c>
      <c r="B24">
        <f t="shared" si="5"/>
        <v>0.24468085106382978</v>
      </c>
      <c r="C24">
        <f t="shared" si="0"/>
        <v>-0.6913241660576783</v>
      </c>
      <c r="D24">
        <v>13.38</v>
      </c>
      <c r="E24">
        <v>52.1997</v>
      </c>
      <c r="F24" s="10">
        <f t="shared" si="1"/>
        <v>1.7176680070497916</v>
      </c>
      <c r="G24">
        <v>40.5883</v>
      </c>
      <c r="H24" s="10">
        <f t="shared" si="2"/>
        <v>1.6084008617119514</v>
      </c>
      <c r="K24">
        <v>9</v>
      </c>
      <c r="L24">
        <f t="shared" si="6"/>
        <v>0.5655737704918032</v>
      </c>
      <c r="M24">
        <f t="shared" si="3"/>
        <v>0.16511626513276895</v>
      </c>
      <c r="O24">
        <v>41.4726</v>
      </c>
      <c r="P24">
        <v>45.2758</v>
      </c>
      <c r="Q24">
        <f t="shared" si="7"/>
        <v>1.6558661328130646</v>
      </c>
      <c r="U24">
        <v>9</v>
      </c>
      <c r="V24">
        <f t="shared" si="8"/>
        <v>0.276</v>
      </c>
      <c r="W24">
        <f t="shared" si="4"/>
        <v>-0.5947656945386177</v>
      </c>
      <c r="X24">
        <v>48.4955</v>
      </c>
      <c r="Y24">
        <v>5.5616</v>
      </c>
      <c r="AA24">
        <v>5.4291</v>
      </c>
      <c r="AB24">
        <f t="shared" si="9"/>
        <v>0.7347278411119735</v>
      </c>
      <c r="AK24">
        <v>7.5079</v>
      </c>
      <c r="AO24">
        <v>59.7933</v>
      </c>
      <c r="AP24">
        <v>48.0259</v>
      </c>
      <c r="AR24">
        <f t="shared" si="10"/>
        <v>1.6814755122400573</v>
      </c>
      <c r="AT24">
        <v>8</v>
      </c>
      <c r="AU24">
        <f t="shared" si="12"/>
        <v>0.22262773722627738</v>
      </c>
      <c r="AV24">
        <f t="shared" si="11"/>
        <v>-0.7633484464069755</v>
      </c>
      <c r="AW24">
        <v>23.9631</v>
      </c>
      <c r="AY24">
        <f t="shared" si="13"/>
        <v>1.3795430001032036</v>
      </c>
      <c r="BF24">
        <v>34.3959</v>
      </c>
    </row>
    <row r="25" spans="1:58" ht="12.75">
      <c r="A25">
        <v>10</v>
      </c>
      <c r="B25">
        <f t="shared" si="5"/>
        <v>0.2730496453900709</v>
      </c>
      <c r="C25">
        <f t="shared" si="0"/>
        <v>-0.6036153591022331</v>
      </c>
      <c r="D25">
        <v>15.485</v>
      </c>
      <c r="E25">
        <v>51.0536</v>
      </c>
      <c r="F25" s="10">
        <f t="shared" si="1"/>
        <v>1.7080263713986499</v>
      </c>
      <c r="G25">
        <v>40.8002</v>
      </c>
      <c r="H25" s="10">
        <f t="shared" si="2"/>
        <v>1.610662291979181</v>
      </c>
      <c r="K25">
        <v>10</v>
      </c>
      <c r="L25">
        <f t="shared" si="6"/>
        <v>0.6311475409836066</v>
      </c>
      <c r="M25">
        <f t="shared" si="3"/>
        <v>0.3348943419500643</v>
      </c>
      <c r="O25">
        <v>39.4429</v>
      </c>
      <c r="P25">
        <v>47.419</v>
      </c>
      <c r="Q25">
        <f t="shared" si="7"/>
        <v>1.6759523910790903</v>
      </c>
      <c r="U25">
        <v>10</v>
      </c>
      <c r="V25">
        <f t="shared" si="8"/>
        <v>0.308</v>
      </c>
      <c r="W25">
        <f t="shared" si="4"/>
        <v>-0.5015273793242041</v>
      </c>
      <c r="X25">
        <v>57.372</v>
      </c>
      <c r="Y25">
        <v>4.2474</v>
      </c>
      <c r="AA25">
        <v>5.5616</v>
      </c>
      <c r="AB25">
        <f t="shared" si="9"/>
        <v>0.7451997504325537</v>
      </c>
      <c r="AK25">
        <v>7.4208</v>
      </c>
      <c r="AO25">
        <v>48.7728</v>
      </c>
      <c r="AP25">
        <v>44.1988</v>
      </c>
      <c r="AR25">
        <f t="shared" si="10"/>
        <v>1.6454104783886192</v>
      </c>
      <c r="AT25">
        <v>9</v>
      </c>
      <c r="AU25">
        <f t="shared" si="12"/>
        <v>0.2518248175182482</v>
      </c>
      <c r="AV25">
        <f t="shared" si="11"/>
        <v>-0.6687581355034997</v>
      </c>
      <c r="AW25">
        <v>25.4205</v>
      </c>
      <c r="AY25">
        <f t="shared" si="13"/>
        <v>1.4051840885116709</v>
      </c>
      <c r="BF25">
        <v>32.7066</v>
      </c>
    </row>
    <row r="26" spans="1:58" ht="12.75">
      <c r="A26">
        <v>11</v>
      </c>
      <c r="B26">
        <f t="shared" si="5"/>
        <v>0.30141843971631205</v>
      </c>
      <c r="C26">
        <f t="shared" si="0"/>
        <v>-0.5203252308492385</v>
      </c>
      <c r="D26">
        <v>21.3028</v>
      </c>
      <c r="E26">
        <v>49.2969</v>
      </c>
      <c r="F26" s="10">
        <f t="shared" si="1"/>
        <v>1.6928196098406383</v>
      </c>
      <c r="G26">
        <v>40.8494</v>
      </c>
      <c r="H26" s="10">
        <f t="shared" si="2"/>
        <v>1.6111856819552686</v>
      </c>
      <c r="K26">
        <v>11</v>
      </c>
      <c r="L26">
        <f t="shared" si="6"/>
        <v>0.6967213114754098</v>
      </c>
      <c r="M26">
        <f t="shared" si="3"/>
        <v>0.5149937245292824</v>
      </c>
      <c r="O26">
        <v>34.381</v>
      </c>
      <c r="P26">
        <v>49.4123</v>
      </c>
      <c r="Q26">
        <f t="shared" si="7"/>
        <v>1.6938350695150106</v>
      </c>
      <c r="U26">
        <v>11</v>
      </c>
      <c r="V26">
        <f t="shared" si="8"/>
        <v>0.34</v>
      </c>
      <c r="W26">
        <f t="shared" si="4"/>
        <v>-0.4124632374046655</v>
      </c>
      <c r="X26">
        <v>47.2641</v>
      </c>
      <c r="Y26">
        <v>5.4291</v>
      </c>
      <c r="AA26">
        <v>5.7675</v>
      </c>
      <c r="AB26">
        <f t="shared" si="9"/>
        <v>0.7609876031931311</v>
      </c>
      <c r="AK26">
        <v>7.3326</v>
      </c>
      <c r="AO26">
        <v>44.7264</v>
      </c>
      <c r="AP26">
        <v>49.6147</v>
      </c>
      <c r="AR26">
        <f t="shared" si="10"/>
        <v>1.695610369696561</v>
      </c>
      <c r="AT26">
        <v>10</v>
      </c>
      <c r="AU26">
        <f t="shared" si="12"/>
        <v>0.28102189781021897</v>
      </c>
      <c r="AV26">
        <f t="shared" si="11"/>
        <v>-0.5798083208983249</v>
      </c>
      <c r="AW26">
        <v>28.354</v>
      </c>
      <c r="AY26">
        <f t="shared" si="13"/>
        <v>1.4526143350238778</v>
      </c>
      <c r="BF26">
        <v>32.2329</v>
      </c>
    </row>
    <row r="27" spans="1:58" ht="12.75">
      <c r="A27">
        <v>12</v>
      </c>
      <c r="B27">
        <f t="shared" si="5"/>
        <v>0.32978723404255317</v>
      </c>
      <c r="C27">
        <f t="shared" si="0"/>
        <v>-0.44050082303762217</v>
      </c>
      <c r="D27">
        <v>23.5823</v>
      </c>
      <c r="E27">
        <v>43.722</v>
      </c>
      <c r="F27" s="10">
        <f t="shared" si="1"/>
        <v>1.6407000199084367</v>
      </c>
      <c r="G27">
        <v>40.8935</v>
      </c>
      <c r="H27" s="10">
        <f t="shared" si="2"/>
        <v>1.611654282616857</v>
      </c>
      <c r="K27">
        <v>12</v>
      </c>
      <c r="L27">
        <f t="shared" si="6"/>
        <v>0.7622950819672131</v>
      </c>
      <c r="M27">
        <f t="shared" si="3"/>
        <v>0.7137044010208538</v>
      </c>
      <c r="O27">
        <v>31.1094</v>
      </c>
      <c r="P27">
        <v>50.9708</v>
      </c>
      <c r="Q27">
        <f t="shared" si="7"/>
        <v>1.7073214500073652</v>
      </c>
      <c r="U27">
        <v>12</v>
      </c>
      <c r="V27">
        <f t="shared" si="8"/>
        <v>0.372</v>
      </c>
      <c r="W27">
        <f t="shared" si="4"/>
        <v>-0.3265610985120623</v>
      </c>
      <c r="X27">
        <v>41.9166</v>
      </c>
      <c r="Y27">
        <v>6.1541</v>
      </c>
      <c r="AA27">
        <v>5.8842</v>
      </c>
      <c r="AB27">
        <f t="shared" si="9"/>
        <v>0.7696874256836751</v>
      </c>
      <c r="AK27">
        <v>7.2916</v>
      </c>
      <c r="AO27">
        <v>37.9733</v>
      </c>
      <c r="AP27">
        <v>49.0917</v>
      </c>
      <c r="AR27">
        <f t="shared" si="10"/>
        <v>1.6910080715750326</v>
      </c>
      <c r="AT27">
        <v>11</v>
      </c>
      <c r="AU27">
        <f t="shared" si="12"/>
        <v>0.3102189781021898</v>
      </c>
      <c r="AV27">
        <f t="shared" si="11"/>
        <v>-0.4952297352329009</v>
      </c>
      <c r="AW27">
        <v>28.528</v>
      </c>
      <c r="AY27">
        <f t="shared" si="13"/>
        <v>1.4552713258312793</v>
      </c>
      <c r="BF27">
        <v>30.1234</v>
      </c>
    </row>
    <row r="28" spans="1:58" ht="12.75">
      <c r="A28">
        <v>13</v>
      </c>
      <c r="B28">
        <f t="shared" si="5"/>
        <v>0.35815602836879434</v>
      </c>
      <c r="C28">
        <f t="shared" si="0"/>
        <v>-0.36339218229808723</v>
      </c>
      <c r="D28">
        <v>27.9562</v>
      </c>
      <c r="E28">
        <v>62.2028</v>
      </c>
      <c r="F28" s="10">
        <f t="shared" si="1"/>
        <v>1.7938099344847065</v>
      </c>
      <c r="G28">
        <v>42.0582</v>
      </c>
      <c r="H28" s="10">
        <f t="shared" si="2"/>
        <v>1.6238506818834606</v>
      </c>
      <c r="K28">
        <v>13</v>
      </c>
      <c r="L28">
        <f t="shared" si="6"/>
        <v>0.8278688524590164</v>
      </c>
      <c r="M28">
        <f t="shared" si="3"/>
        <v>0.9457770244458972</v>
      </c>
      <c r="O28">
        <v>27.6711</v>
      </c>
      <c r="P28">
        <v>53.6335</v>
      </c>
      <c r="Q28">
        <f t="shared" si="7"/>
        <v>1.729436138956145</v>
      </c>
      <c r="U28">
        <v>13</v>
      </c>
      <c r="V28">
        <f t="shared" si="8"/>
        <v>0.404</v>
      </c>
      <c r="W28">
        <f t="shared" si="4"/>
        <v>-0.24300709321441671</v>
      </c>
      <c r="X28">
        <v>40.9913</v>
      </c>
      <c r="Y28">
        <v>6.4242</v>
      </c>
      <c r="AA28">
        <v>6.1541</v>
      </c>
      <c r="AB28">
        <f t="shared" si="9"/>
        <v>0.7891645489630058</v>
      </c>
      <c r="AK28">
        <v>7.2752</v>
      </c>
      <c r="AO28">
        <v>40.4104</v>
      </c>
      <c r="AP28">
        <v>41.5428</v>
      </c>
      <c r="AR28">
        <f t="shared" si="10"/>
        <v>1.6184957647934028</v>
      </c>
      <c r="AT28">
        <v>12</v>
      </c>
      <c r="AU28">
        <f t="shared" si="12"/>
        <v>0.33941605839416056</v>
      </c>
      <c r="AV28">
        <f t="shared" si="11"/>
        <v>-0.4140574423316207</v>
      </c>
      <c r="AW28">
        <v>29.8742</v>
      </c>
      <c r="AY28">
        <f t="shared" si="13"/>
        <v>1.4752962841574506</v>
      </c>
      <c r="BF28">
        <v>27.9067</v>
      </c>
    </row>
    <row r="29" spans="1:58" ht="12.75">
      <c r="A29">
        <v>14</v>
      </c>
      <c r="B29">
        <f t="shared" si="5"/>
        <v>0.38652482269503546</v>
      </c>
      <c r="C29">
        <f t="shared" si="0"/>
        <v>-0.2883883050857591</v>
      </c>
      <c r="D29">
        <v>40.2294</v>
      </c>
      <c r="E29">
        <v>63.7845</v>
      </c>
      <c r="F29" s="10">
        <f t="shared" si="1"/>
        <v>1.8047151554874996</v>
      </c>
      <c r="G29">
        <v>43.722</v>
      </c>
      <c r="H29" s="10">
        <f t="shared" si="2"/>
        <v>1.6407000199084367</v>
      </c>
      <c r="K29">
        <v>14</v>
      </c>
      <c r="L29">
        <f t="shared" si="6"/>
        <v>0.8934426229508197</v>
      </c>
      <c r="M29">
        <f t="shared" si="3"/>
        <v>1.2450465937106339</v>
      </c>
      <c r="O29">
        <v>21.8624</v>
      </c>
      <c r="P29">
        <v>59.0121</v>
      </c>
      <c r="Q29">
        <f t="shared" si="7"/>
        <v>1.7709410696836407</v>
      </c>
      <c r="U29">
        <v>14</v>
      </c>
      <c r="V29">
        <f t="shared" si="8"/>
        <v>0.436</v>
      </c>
      <c r="W29">
        <f t="shared" si="4"/>
        <v>-0.16111856451397683</v>
      </c>
      <c r="X29">
        <v>38.6828</v>
      </c>
      <c r="Y29">
        <v>6.6142</v>
      </c>
      <c r="AA29">
        <v>6.3247</v>
      </c>
      <c r="AB29">
        <f t="shared" si="9"/>
        <v>0.8010399304115692</v>
      </c>
      <c r="AK29">
        <v>7.2044</v>
      </c>
      <c r="AO29">
        <v>56.7848</v>
      </c>
      <c r="AP29">
        <v>25.4205</v>
      </c>
      <c r="AR29">
        <f t="shared" si="10"/>
        <v>1.4051840885116709</v>
      </c>
      <c r="AT29">
        <v>13</v>
      </c>
      <c r="AU29">
        <f t="shared" si="12"/>
        <v>0.3686131386861314</v>
      </c>
      <c r="AV29">
        <f t="shared" si="11"/>
        <v>-0.33552889732781244</v>
      </c>
      <c r="AW29">
        <v>31.6369</v>
      </c>
      <c r="AY29">
        <f t="shared" si="13"/>
        <v>1.50019392176457</v>
      </c>
      <c r="BF29">
        <v>25.7973</v>
      </c>
    </row>
    <row r="30" spans="1:58" ht="12.75">
      <c r="A30">
        <v>15</v>
      </c>
      <c r="B30">
        <f t="shared" si="5"/>
        <v>0.4148936170212766</v>
      </c>
      <c r="C30">
        <f t="shared" si="0"/>
        <v>-0.21497454011086442</v>
      </c>
      <c r="D30">
        <v>34.2549</v>
      </c>
      <c r="E30">
        <v>57.967</v>
      </c>
      <c r="F30" s="10">
        <f t="shared" si="1"/>
        <v>1.763180824656444</v>
      </c>
      <c r="G30">
        <v>43.7528</v>
      </c>
      <c r="H30" s="10">
        <f t="shared" si="2"/>
        <v>1.6410058513157768</v>
      </c>
      <c r="K30">
        <v>15</v>
      </c>
      <c r="L30">
        <f t="shared" si="6"/>
        <v>0.9590163934426229</v>
      </c>
      <c r="M30">
        <f t="shared" si="3"/>
        <v>1.7393836922904513</v>
      </c>
      <c r="O30">
        <v>13.2896</v>
      </c>
      <c r="P30">
        <v>60.8508</v>
      </c>
      <c r="Q30">
        <f t="shared" si="7"/>
        <v>1.7842662922341472</v>
      </c>
      <c r="U30">
        <v>15</v>
      </c>
      <c r="V30">
        <f t="shared" si="8"/>
        <v>0.468</v>
      </c>
      <c r="W30">
        <f t="shared" si="4"/>
        <v>-0.08029814297199167</v>
      </c>
      <c r="X30">
        <v>35.3585</v>
      </c>
      <c r="Y30">
        <v>7.3077</v>
      </c>
      <c r="AA30">
        <v>6.4242</v>
      </c>
      <c r="AB30">
        <f t="shared" si="9"/>
        <v>0.8078190530589665</v>
      </c>
      <c r="AK30">
        <v>7.0967</v>
      </c>
      <c r="AO30">
        <v>56.526</v>
      </c>
      <c r="AP30">
        <v>12.992</v>
      </c>
      <c r="AR30">
        <f t="shared" si="10"/>
        <v>1.1136760118971</v>
      </c>
      <c r="AT30">
        <v>14</v>
      </c>
      <c r="AU30">
        <f t="shared" si="12"/>
        <v>0.3978102189781022</v>
      </c>
      <c r="AV30">
        <f t="shared" si="11"/>
        <v>-0.25901932894351387</v>
      </c>
      <c r="AW30">
        <v>32.5238</v>
      </c>
      <c r="AY30">
        <f t="shared" si="13"/>
        <v>1.5122012817749793</v>
      </c>
      <c r="BF30">
        <v>24.2688</v>
      </c>
    </row>
    <row r="31" spans="1:58" ht="12.75">
      <c r="A31">
        <v>16</v>
      </c>
      <c r="B31">
        <f t="shared" si="5"/>
        <v>0.4432624113475177</v>
      </c>
      <c r="C31">
        <f t="shared" si="0"/>
        <v>-0.14270284006637274</v>
      </c>
      <c r="D31">
        <v>31.1727</v>
      </c>
      <c r="E31">
        <v>50.4738</v>
      </c>
      <c r="F31" s="10">
        <f t="shared" si="1"/>
        <v>1.7030660025126878</v>
      </c>
      <c r="G31">
        <v>45.0057</v>
      </c>
      <c r="H31" s="10">
        <f t="shared" si="2"/>
        <v>1.6532675209260055</v>
      </c>
      <c r="K31" t="s">
        <v>134</v>
      </c>
      <c r="O31">
        <f>AVERAGE(O16:O30)</f>
        <v>41.28188</v>
      </c>
      <c r="P31">
        <f>AVERAGE(P16:P30)</f>
        <v>41.28188000000001</v>
      </c>
      <c r="Q31">
        <f>AVERAGE(Q16:Q30)</f>
        <v>1.5869022521000449</v>
      </c>
      <c r="U31">
        <v>16</v>
      </c>
      <c r="V31">
        <f t="shared" si="8"/>
        <v>0.5</v>
      </c>
      <c r="W31">
        <f t="shared" si="4"/>
        <v>5.471417352459603E-10</v>
      </c>
      <c r="X31">
        <v>20.8103</v>
      </c>
      <c r="Y31">
        <v>8.8904</v>
      </c>
      <c r="AA31">
        <v>6.6142</v>
      </c>
      <c r="AB31">
        <f t="shared" si="9"/>
        <v>0.8204773229609845</v>
      </c>
      <c r="AK31">
        <v>6.9839</v>
      </c>
      <c r="AO31">
        <v>51.4093</v>
      </c>
      <c r="AP31">
        <v>17.2509</v>
      </c>
      <c r="AR31">
        <f t="shared" si="10"/>
        <v>1.2368117576607474</v>
      </c>
      <c r="AT31">
        <v>15</v>
      </c>
      <c r="AU31">
        <f t="shared" si="12"/>
        <v>0.42700729927007297</v>
      </c>
      <c r="AV31">
        <f t="shared" si="11"/>
        <v>-0.1839985673261843</v>
      </c>
      <c r="AW31">
        <v>32.6412</v>
      </c>
      <c r="AY31">
        <f t="shared" si="13"/>
        <v>1.5137661164972185</v>
      </c>
      <c r="BF31">
        <v>20.5772</v>
      </c>
    </row>
    <row r="32" spans="1:58" ht="12.75">
      <c r="A32">
        <v>17</v>
      </c>
      <c r="B32">
        <f t="shared" si="5"/>
        <v>0.4716312056737589</v>
      </c>
      <c r="C32">
        <f t="shared" si="0"/>
        <v>-0.0711698826258903</v>
      </c>
      <c r="D32">
        <v>35.5573</v>
      </c>
      <c r="E32">
        <v>43.7528</v>
      </c>
      <c r="F32" s="10">
        <f t="shared" si="1"/>
        <v>1.6410058513157768</v>
      </c>
      <c r="G32">
        <v>47.7962</v>
      </c>
      <c r="H32" s="10">
        <f t="shared" si="2"/>
        <v>1.679393369736948</v>
      </c>
      <c r="K32" t="s">
        <v>135</v>
      </c>
      <c r="O32">
        <f>STDEV(O16:O30)</f>
        <v>13.54492501831273</v>
      </c>
      <c r="P32">
        <f>STDEV(P16:P30)</f>
        <v>13.54492501831271</v>
      </c>
      <c r="Q32" s="1">
        <f>STDEV(Q16:Q30)</f>
        <v>0.17800587942852877</v>
      </c>
      <c r="U32">
        <v>17</v>
      </c>
      <c r="V32">
        <f t="shared" si="8"/>
        <v>0.532</v>
      </c>
      <c r="W32">
        <f t="shared" si="4"/>
        <v>0.08029814297199167</v>
      </c>
      <c r="X32">
        <v>6.8301</v>
      </c>
      <c r="Y32">
        <v>10.6487</v>
      </c>
      <c r="AA32">
        <v>6.8266</v>
      </c>
      <c r="AB32">
        <f t="shared" si="9"/>
        <v>0.834204456406372</v>
      </c>
      <c r="AK32">
        <v>6.9778</v>
      </c>
      <c r="AO32">
        <v>48.2256</v>
      </c>
      <c r="AP32">
        <v>16.4282</v>
      </c>
      <c r="AR32">
        <f t="shared" si="10"/>
        <v>1.215589981396593</v>
      </c>
      <c r="AT32">
        <v>16</v>
      </c>
      <c r="AU32">
        <f t="shared" si="12"/>
        <v>0.4562043795620438</v>
      </c>
      <c r="AV32">
        <f t="shared" si="11"/>
        <v>-0.11000064608345128</v>
      </c>
      <c r="AW32">
        <v>33.6728</v>
      </c>
      <c r="AY32">
        <f t="shared" si="13"/>
        <v>1.5272792308516996</v>
      </c>
      <c r="BF32">
        <v>17.7796</v>
      </c>
    </row>
    <row r="33" spans="1:58" ht="12.75">
      <c r="A33">
        <v>18</v>
      </c>
      <c r="B33">
        <f t="shared" si="5"/>
        <v>0.5</v>
      </c>
      <c r="C33">
        <f t="shared" si="0"/>
        <v>5.471417352459603E-10</v>
      </c>
      <c r="D33">
        <v>37.7295</v>
      </c>
      <c r="E33">
        <v>32.9956</v>
      </c>
      <c r="F33" s="10">
        <f t="shared" si="1"/>
        <v>1.5184560300862284</v>
      </c>
      <c r="G33">
        <v>48.143</v>
      </c>
      <c r="H33" s="10">
        <f t="shared" si="2"/>
        <v>1.6825331495628313</v>
      </c>
      <c r="K33" t="s">
        <v>136</v>
      </c>
      <c r="O33">
        <f>COUNT(O16:O30)</f>
        <v>15</v>
      </c>
      <c r="P33">
        <f>COUNT(P16:P30)</f>
        <v>15</v>
      </c>
      <c r="Q33">
        <f>COUNT(Q16:Q30)</f>
        <v>15</v>
      </c>
      <c r="U33">
        <v>18</v>
      </c>
      <c r="V33">
        <f t="shared" si="8"/>
        <v>0.564</v>
      </c>
      <c r="W33">
        <f t="shared" si="4"/>
        <v>0.16111856451397683</v>
      </c>
      <c r="X33">
        <v>13.7215</v>
      </c>
      <c r="Y33">
        <v>9.4785</v>
      </c>
      <c r="AA33">
        <v>6.9102</v>
      </c>
      <c r="AB33">
        <f t="shared" si="9"/>
        <v>0.8394906172207109</v>
      </c>
      <c r="AK33">
        <v>6.9162</v>
      </c>
      <c r="AO33">
        <v>46.7941</v>
      </c>
      <c r="AP33">
        <v>18.7773</v>
      </c>
      <c r="AR33">
        <f t="shared" si="10"/>
        <v>1.273633144937483</v>
      </c>
      <c r="AT33">
        <v>17</v>
      </c>
      <c r="AU33">
        <f t="shared" si="12"/>
        <v>0.4854014598540146</v>
      </c>
      <c r="AV33">
        <f t="shared" si="11"/>
        <v>-0.03660113501307412</v>
      </c>
      <c r="AW33">
        <v>33.6929</v>
      </c>
      <c r="AY33">
        <f t="shared" si="13"/>
        <v>1.5275383929874837</v>
      </c>
      <c r="BF33">
        <v>16.8857</v>
      </c>
    </row>
    <row r="34" spans="1:51" ht="12.75">
      <c r="A34">
        <v>19</v>
      </c>
      <c r="B34">
        <f t="shared" si="5"/>
        <v>0.5283687943262412</v>
      </c>
      <c r="C34">
        <f t="shared" si="0"/>
        <v>0.0711698826258903</v>
      </c>
      <c r="D34">
        <v>39.2877</v>
      </c>
      <c r="E34">
        <v>31.1394</v>
      </c>
      <c r="F34" s="10">
        <f t="shared" si="1"/>
        <v>1.4933102402423921</v>
      </c>
      <c r="G34">
        <v>49.2969</v>
      </c>
      <c r="H34" s="10">
        <f t="shared" si="2"/>
        <v>1.6928196098406383</v>
      </c>
      <c r="K34" t="s">
        <v>137</v>
      </c>
      <c r="O34">
        <f>(O32/O33^0.5)</f>
        <v>3.497284601436893</v>
      </c>
      <c r="P34">
        <f>(P32/P33^0.5)</f>
        <v>3.497284601436888</v>
      </c>
      <c r="Q34">
        <f>(Q32/Q33^0.5)</f>
        <v>0.045960920436913154</v>
      </c>
      <c r="U34">
        <v>19</v>
      </c>
      <c r="V34">
        <f t="shared" si="8"/>
        <v>0.596</v>
      </c>
      <c r="W34">
        <f t="shared" si="4"/>
        <v>0.24300709321441671</v>
      </c>
      <c r="X34">
        <v>15.8467</v>
      </c>
      <c r="Y34">
        <v>9.2479</v>
      </c>
      <c r="AA34">
        <v>6.9804</v>
      </c>
      <c r="AB34">
        <f t="shared" si="9"/>
        <v>0.8438803098459927</v>
      </c>
      <c r="AK34">
        <v>6.7223</v>
      </c>
      <c r="AO34">
        <v>43.7316</v>
      </c>
      <c r="AP34">
        <v>29.8742</v>
      </c>
      <c r="AR34">
        <f t="shared" si="10"/>
        <v>1.4752962841574506</v>
      </c>
      <c r="AT34">
        <v>18</v>
      </c>
      <c r="AU34">
        <f t="shared" si="12"/>
        <v>0.5145985401459854</v>
      </c>
      <c r="AV34">
        <f t="shared" si="11"/>
        <v>0.03660113501307315</v>
      </c>
      <c r="AW34">
        <v>34.6553</v>
      </c>
      <c r="AY34">
        <f t="shared" si="13"/>
        <v>1.5397696627497157</v>
      </c>
    </row>
    <row r="35" spans="1:51" ht="12.75">
      <c r="A35">
        <v>20</v>
      </c>
      <c r="B35">
        <f t="shared" si="5"/>
        <v>0.5567375886524822</v>
      </c>
      <c r="C35">
        <f t="shared" si="0"/>
        <v>0.14270284006637274</v>
      </c>
      <c r="D35">
        <v>20.0546</v>
      </c>
      <c r="E35">
        <v>14.7021</v>
      </c>
      <c r="F35" s="10">
        <f t="shared" si="1"/>
        <v>1.167379372385865</v>
      </c>
      <c r="G35">
        <v>50.4738</v>
      </c>
      <c r="H35" s="10">
        <f t="shared" si="2"/>
        <v>1.7030660025126878</v>
      </c>
      <c r="K35" t="s">
        <v>138</v>
      </c>
      <c r="O35" s="1">
        <f>O32/O31</f>
        <v>0.3281082406690957</v>
      </c>
      <c r="P35" s="13">
        <f>P32/P31</f>
        <v>0.3281082406690952</v>
      </c>
      <c r="Q35" s="1"/>
      <c r="U35">
        <v>20</v>
      </c>
      <c r="V35">
        <f t="shared" si="8"/>
        <v>0.628</v>
      </c>
      <c r="W35">
        <f t="shared" si="4"/>
        <v>0.3265610985120623</v>
      </c>
      <c r="X35">
        <v>3.4204</v>
      </c>
      <c r="Y35">
        <v>10.5903</v>
      </c>
      <c r="AA35">
        <v>7.3077</v>
      </c>
      <c r="AB35">
        <f t="shared" si="9"/>
        <v>0.8637807101338566</v>
      </c>
      <c r="AO35">
        <v>41.4132</v>
      </c>
      <c r="AP35">
        <v>23.0779</v>
      </c>
      <c r="AR35">
        <f t="shared" si="10"/>
        <v>1.363196287156752</v>
      </c>
      <c r="AT35">
        <v>19</v>
      </c>
      <c r="AU35">
        <f t="shared" si="12"/>
        <v>0.5437956204379562</v>
      </c>
      <c r="AV35">
        <f t="shared" si="11"/>
        <v>0.11000064608345095</v>
      </c>
      <c r="AW35">
        <v>34.9063</v>
      </c>
      <c r="AY35">
        <f t="shared" si="13"/>
        <v>1.5429038168822504</v>
      </c>
    </row>
    <row r="36" spans="1:51" ht="12.75">
      <c r="A36">
        <v>21</v>
      </c>
      <c r="B36">
        <f t="shared" si="5"/>
        <v>0.5851063829787234</v>
      </c>
      <c r="C36">
        <f t="shared" si="0"/>
        <v>0.21497454011086387</v>
      </c>
      <c r="D36">
        <v>46.9925</v>
      </c>
      <c r="E36">
        <v>56.2723</v>
      </c>
      <c r="F36" s="10">
        <f t="shared" si="1"/>
        <v>1.7502946662983805</v>
      </c>
      <c r="G36">
        <v>51.0536</v>
      </c>
      <c r="H36" s="10">
        <f t="shared" si="2"/>
        <v>1.7080263713986499</v>
      </c>
      <c r="U36">
        <v>21</v>
      </c>
      <c r="V36">
        <f t="shared" si="8"/>
        <v>0.66</v>
      </c>
      <c r="W36">
        <f t="shared" si="4"/>
        <v>0.4124632374046655</v>
      </c>
      <c r="X36">
        <v>7.7762</v>
      </c>
      <c r="Y36">
        <v>9.9398</v>
      </c>
      <c r="AA36">
        <v>7.9441</v>
      </c>
      <c r="AB36">
        <f t="shared" si="9"/>
        <v>0.9000447024025873</v>
      </c>
      <c r="AO36">
        <v>39.173</v>
      </c>
      <c r="AP36">
        <v>23.9631</v>
      </c>
      <c r="AR36">
        <f t="shared" si="10"/>
        <v>1.3795430001032036</v>
      </c>
      <c r="AT36">
        <v>20</v>
      </c>
      <c r="AU36">
        <f t="shared" si="12"/>
        <v>0.572992700729927</v>
      </c>
      <c r="AV36">
        <f t="shared" si="11"/>
        <v>0.1839985673261843</v>
      </c>
      <c r="AW36">
        <v>39.0254</v>
      </c>
      <c r="AY36">
        <f t="shared" si="13"/>
        <v>1.5913473631605275</v>
      </c>
    </row>
    <row r="37" spans="1:51" ht="12.75">
      <c r="A37">
        <v>22</v>
      </c>
      <c r="B37">
        <f t="shared" si="5"/>
        <v>0.6134751773049646</v>
      </c>
      <c r="C37">
        <f t="shared" si="0"/>
        <v>0.2883883050857591</v>
      </c>
      <c r="D37">
        <v>49.305</v>
      </c>
      <c r="E37">
        <v>52.2921</v>
      </c>
      <c r="F37" s="10">
        <f t="shared" si="1"/>
        <v>1.718436083024891</v>
      </c>
      <c r="G37">
        <v>52.1997</v>
      </c>
      <c r="H37" s="10">
        <f t="shared" si="2"/>
        <v>1.7176680070497916</v>
      </c>
      <c r="U37">
        <v>22</v>
      </c>
      <c r="V37">
        <f t="shared" si="8"/>
        <v>0.692</v>
      </c>
      <c r="W37">
        <f t="shared" si="4"/>
        <v>0.5015273793242037</v>
      </c>
      <c r="X37">
        <v>15.734</v>
      </c>
      <c r="Y37">
        <v>8.9152</v>
      </c>
      <c r="AA37">
        <v>8.1521</v>
      </c>
      <c r="AB37">
        <f t="shared" si="9"/>
        <v>0.9112694984249916</v>
      </c>
      <c r="AO37">
        <v>34.6305</v>
      </c>
      <c r="AP37">
        <v>32.6412</v>
      </c>
      <c r="AR37">
        <f t="shared" si="10"/>
        <v>1.5137661164972185</v>
      </c>
      <c r="AT37">
        <v>21</v>
      </c>
      <c r="AU37">
        <f t="shared" si="12"/>
        <v>0.6021897810218978</v>
      </c>
      <c r="AV37">
        <f t="shared" si="11"/>
        <v>0.25901932894351387</v>
      </c>
      <c r="AW37">
        <v>41.0208</v>
      </c>
      <c r="AY37">
        <f t="shared" si="13"/>
        <v>1.613004125856765</v>
      </c>
    </row>
    <row r="38" spans="1:51" ht="12.75">
      <c r="A38">
        <v>23</v>
      </c>
      <c r="B38">
        <f t="shared" si="5"/>
        <v>0.6418439716312057</v>
      </c>
      <c r="C38">
        <f t="shared" si="0"/>
        <v>0.36339218229808723</v>
      </c>
      <c r="D38">
        <v>48.2949</v>
      </c>
      <c r="E38">
        <v>42.0582</v>
      </c>
      <c r="F38" s="10">
        <f t="shared" si="1"/>
        <v>1.6238506818834606</v>
      </c>
      <c r="G38">
        <v>52.2921</v>
      </c>
      <c r="H38" s="10">
        <f t="shared" si="2"/>
        <v>1.718436083024891</v>
      </c>
      <c r="U38">
        <v>23</v>
      </c>
      <c r="V38">
        <f t="shared" si="8"/>
        <v>0.724</v>
      </c>
      <c r="W38">
        <f t="shared" si="4"/>
        <v>0.5947656945386168</v>
      </c>
      <c r="X38">
        <v>21.7465</v>
      </c>
      <c r="Y38">
        <v>8.1521</v>
      </c>
      <c r="AA38">
        <v>8.8904</v>
      </c>
      <c r="AB38">
        <f t="shared" si="9"/>
        <v>0.9489213013396981</v>
      </c>
      <c r="AO38">
        <v>35.6603</v>
      </c>
      <c r="AP38">
        <v>16.8252</v>
      </c>
      <c r="AR38">
        <f t="shared" si="10"/>
        <v>1.225960235355458</v>
      </c>
      <c r="AT38">
        <v>22</v>
      </c>
      <c r="AU38">
        <f t="shared" si="12"/>
        <v>0.6313868613138686</v>
      </c>
      <c r="AV38">
        <f t="shared" si="11"/>
        <v>0.33552889732781244</v>
      </c>
      <c r="AW38">
        <v>41.5428</v>
      </c>
      <c r="AY38">
        <f t="shared" si="13"/>
        <v>1.6184957647934028</v>
      </c>
    </row>
    <row r="39" spans="1:51" ht="12.75">
      <c r="A39">
        <v>24</v>
      </c>
      <c r="B39">
        <f t="shared" si="5"/>
        <v>0.6702127659574468</v>
      </c>
      <c r="C39">
        <f t="shared" si="0"/>
        <v>0.44050082303762195</v>
      </c>
      <c r="D39">
        <v>45.0713</v>
      </c>
      <c r="E39">
        <v>40.5883</v>
      </c>
      <c r="F39" s="10">
        <f t="shared" si="1"/>
        <v>1.6084008617119514</v>
      </c>
      <c r="G39">
        <v>53.3756</v>
      </c>
      <c r="H39" s="10">
        <f t="shared" si="2"/>
        <v>1.7273427700045005</v>
      </c>
      <c r="U39">
        <v>24</v>
      </c>
      <c r="V39">
        <f t="shared" si="8"/>
        <v>0.756</v>
      </c>
      <c r="W39">
        <f t="shared" si="4"/>
        <v>0.6934931125271346</v>
      </c>
      <c r="X39">
        <v>22.5234</v>
      </c>
      <c r="Y39">
        <v>7.9441</v>
      </c>
      <c r="AA39">
        <v>8.9152</v>
      </c>
      <c r="AB39">
        <f t="shared" si="9"/>
        <v>0.9501310904078507</v>
      </c>
      <c r="AO39">
        <v>31.4656</v>
      </c>
      <c r="AP39">
        <v>33.6728</v>
      </c>
      <c r="AR39">
        <f t="shared" si="10"/>
        <v>1.5272792308516996</v>
      </c>
      <c r="AT39">
        <v>23</v>
      </c>
      <c r="AU39">
        <f t="shared" si="12"/>
        <v>0.6605839416058394</v>
      </c>
      <c r="AV39">
        <f t="shared" si="11"/>
        <v>0.4140574423316201</v>
      </c>
      <c r="AW39">
        <v>42.3851</v>
      </c>
      <c r="AY39">
        <f t="shared" si="13"/>
        <v>1.6272132121340488</v>
      </c>
    </row>
    <row r="40" spans="1:51" ht="12.75">
      <c r="A40">
        <v>25</v>
      </c>
      <c r="B40">
        <f t="shared" si="5"/>
        <v>0.6985815602836879</v>
      </c>
      <c r="C40">
        <f t="shared" si="0"/>
        <v>0.5203252308492383</v>
      </c>
      <c r="D40">
        <v>43.2149</v>
      </c>
      <c r="E40">
        <v>40.8935</v>
      </c>
      <c r="F40" s="10">
        <f t="shared" si="1"/>
        <v>1.611654282616857</v>
      </c>
      <c r="G40">
        <v>54.0539</v>
      </c>
      <c r="H40" s="10">
        <f t="shared" si="2"/>
        <v>1.732827033855949</v>
      </c>
      <c r="U40">
        <v>25</v>
      </c>
      <c r="V40">
        <f t="shared" si="8"/>
        <v>0.788</v>
      </c>
      <c r="W40">
        <f t="shared" si="4"/>
        <v>0.7995007196906758</v>
      </c>
      <c r="X40">
        <v>31.6645</v>
      </c>
      <c r="Y40">
        <v>6.9102</v>
      </c>
      <c r="AA40">
        <v>9.2479</v>
      </c>
      <c r="AB40">
        <f t="shared" si="9"/>
        <v>0.9660431249602128</v>
      </c>
      <c r="AO40">
        <v>23.672</v>
      </c>
      <c r="AP40">
        <v>34.9063</v>
      </c>
      <c r="AR40">
        <f t="shared" si="10"/>
        <v>1.5429038168822504</v>
      </c>
      <c r="AT40">
        <v>24</v>
      </c>
      <c r="AU40">
        <f t="shared" si="12"/>
        <v>0.6897810218978102</v>
      </c>
      <c r="AV40">
        <f t="shared" si="11"/>
        <v>0.49522973523290015</v>
      </c>
      <c r="AW40">
        <v>44.1988</v>
      </c>
      <c r="AY40">
        <f t="shared" si="13"/>
        <v>1.6454104783886192</v>
      </c>
    </row>
    <row r="41" spans="1:51" ht="12.75">
      <c r="A41">
        <v>26</v>
      </c>
      <c r="B41">
        <f t="shared" si="5"/>
        <v>0.7269503546099291</v>
      </c>
      <c r="C41">
        <f t="shared" si="0"/>
        <v>0.6036153591022331</v>
      </c>
      <c r="D41">
        <v>41.3503</v>
      </c>
      <c r="E41">
        <v>40.8002</v>
      </c>
      <c r="F41" s="10">
        <f t="shared" si="1"/>
        <v>1.610662291979181</v>
      </c>
      <c r="G41">
        <v>56.1179</v>
      </c>
      <c r="H41" s="10">
        <f t="shared" si="2"/>
        <v>1.7491014108332252</v>
      </c>
      <c r="U41">
        <v>26</v>
      </c>
      <c r="V41">
        <f t="shared" si="8"/>
        <v>0.82</v>
      </c>
      <c r="W41">
        <f t="shared" si="4"/>
        <v>0.9153649821073429</v>
      </c>
      <c r="X41">
        <v>36.2118</v>
      </c>
      <c r="Y41">
        <v>6.3247</v>
      </c>
      <c r="AA41">
        <v>9.4785</v>
      </c>
      <c r="AB41">
        <f t="shared" si="9"/>
        <v>0.9767396144196693</v>
      </c>
      <c r="AO41">
        <v>20.2294</v>
      </c>
      <c r="AP41">
        <v>34.6553</v>
      </c>
      <c r="AR41">
        <f t="shared" si="10"/>
        <v>1.5397696627497157</v>
      </c>
      <c r="AT41">
        <v>25</v>
      </c>
      <c r="AU41">
        <f t="shared" si="12"/>
        <v>0.718978102189781</v>
      </c>
      <c r="AV41">
        <f t="shared" si="11"/>
        <v>0.579808320898324</v>
      </c>
      <c r="AW41">
        <v>46.6999</v>
      </c>
      <c r="AY41">
        <f t="shared" si="13"/>
        <v>1.6693159505983457</v>
      </c>
    </row>
    <row r="42" spans="1:51" ht="12.75">
      <c r="A42">
        <v>27</v>
      </c>
      <c r="B42">
        <f t="shared" si="5"/>
        <v>0.7553191489361702</v>
      </c>
      <c r="C42">
        <f t="shared" si="0"/>
        <v>0.6913241660576783</v>
      </c>
      <c r="D42">
        <v>57.3103</v>
      </c>
      <c r="E42">
        <v>53.3756</v>
      </c>
      <c r="F42" s="10">
        <f t="shared" si="1"/>
        <v>1.7273427700045005</v>
      </c>
      <c r="G42">
        <v>56.2723</v>
      </c>
      <c r="H42" s="10">
        <f t="shared" si="2"/>
        <v>1.7502946662983805</v>
      </c>
      <c r="U42">
        <v>27</v>
      </c>
      <c r="V42">
        <f t="shared" si="8"/>
        <v>0.852</v>
      </c>
      <c r="W42">
        <f t="shared" si="4"/>
        <v>1.0450497979832858</v>
      </c>
      <c r="X42">
        <v>39.4523</v>
      </c>
      <c r="Y42">
        <v>5.8842</v>
      </c>
      <c r="AA42">
        <v>9.6052</v>
      </c>
      <c r="AB42">
        <f t="shared" si="9"/>
        <v>0.9825064121953266</v>
      </c>
      <c r="AO42">
        <v>21.4884</v>
      </c>
      <c r="AP42">
        <v>28.354</v>
      </c>
      <c r="AR42">
        <f t="shared" si="10"/>
        <v>1.4526143350238778</v>
      </c>
      <c r="AT42">
        <v>26</v>
      </c>
      <c r="AU42">
        <f t="shared" si="12"/>
        <v>0.7481751824817519</v>
      </c>
      <c r="AV42">
        <f t="shared" si="11"/>
        <v>0.6687581355034997</v>
      </c>
      <c r="AW42">
        <v>48.0259</v>
      </c>
      <c r="AY42">
        <f t="shared" si="13"/>
        <v>1.6814755122400573</v>
      </c>
    </row>
    <row r="43" spans="1:51" ht="12.75">
      <c r="A43">
        <v>28</v>
      </c>
      <c r="B43">
        <f t="shared" si="5"/>
        <v>0.7836879432624113</v>
      </c>
      <c r="C43">
        <f t="shared" si="0"/>
        <v>0.7847089245983498</v>
      </c>
      <c r="D43">
        <v>69.8051</v>
      </c>
      <c r="E43">
        <v>78.5209</v>
      </c>
      <c r="F43" s="10">
        <f t="shared" si="1"/>
        <v>1.8949852688035884</v>
      </c>
      <c r="G43">
        <v>56.3483</v>
      </c>
      <c r="H43" s="10">
        <f t="shared" si="2"/>
        <v>1.7508808181326807</v>
      </c>
      <c r="U43">
        <v>28</v>
      </c>
      <c r="V43">
        <f t="shared" si="8"/>
        <v>0.884</v>
      </c>
      <c r="W43">
        <f t="shared" si="4"/>
        <v>1.195223093192288</v>
      </c>
      <c r="X43">
        <v>44.9498</v>
      </c>
      <c r="Y43">
        <v>5.102</v>
      </c>
      <c r="AA43">
        <v>9.6154</v>
      </c>
      <c r="AB43">
        <f t="shared" si="9"/>
        <v>0.9829673555718348</v>
      </c>
      <c r="AO43">
        <v>7.6966</v>
      </c>
      <c r="AP43">
        <v>51.2308</v>
      </c>
      <c r="AR43">
        <f t="shared" si="10"/>
        <v>1.7095311377009126</v>
      </c>
      <c r="AT43">
        <v>27</v>
      </c>
      <c r="AU43">
        <f t="shared" si="12"/>
        <v>0.7773722627737226</v>
      </c>
      <c r="AV43">
        <f t="shared" si="11"/>
        <v>0.7633484464069751</v>
      </c>
      <c r="AW43">
        <v>49.0917</v>
      </c>
      <c r="AY43">
        <f t="shared" si="13"/>
        <v>1.6910080715750326</v>
      </c>
    </row>
    <row r="44" spans="1:51" ht="12.75">
      <c r="A44">
        <v>29</v>
      </c>
      <c r="B44">
        <f t="shared" si="5"/>
        <v>0.8120567375886525</v>
      </c>
      <c r="C44">
        <f t="shared" si="0"/>
        <v>0.8855007732094775</v>
      </c>
      <c r="D44">
        <v>79.9426</v>
      </c>
      <c r="E44">
        <v>54.0539</v>
      </c>
      <c r="F44" s="10">
        <f t="shared" si="1"/>
        <v>1.732827033855949</v>
      </c>
      <c r="G44">
        <v>57.967</v>
      </c>
      <c r="H44" s="10">
        <f t="shared" si="2"/>
        <v>1.763180824656444</v>
      </c>
      <c r="U44">
        <v>29</v>
      </c>
      <c r="V44">
        <f t="shared" si="8"/>
        <v>0.916</v>
      </c>
      <c r="W44">
        <f t="shared" si="4"/>
        <v>1.3786590913461043</v>
      </c>
      <c r="X44">
        <v>28.4679</v>
      </c>
      <c r="Y44">
        <v>6.9804</v>
      </c>
      <c r="AA44">
        <v>9.9398</v>
      </c>
      <c r="AB44">
        <f t="shared" si="9"/>
        <v>0.9973776459898461</v>
      </c>
      <c r="AO44">
        <v>15.8326</v>
      </c>
      <c r="AP44">
        <v>31.6369</v>
      </c>
      <c r="AR44">
        <f t="shared" si="10"/>
        <v>1.50019392176457</v>
      </c>
      <c r="AT44">
        <v>28</v>
      </c>
      <c r="AU44">
        <f t="shared" si="12"/>
        <v>0.8065693430656934</v>
      </c>
      <c r="AV44">
        <f t="shared" si="11"/>
        <v>0.8653232266580919</v>
      </c>
      <c r="AW44">
        <v>49.6147</v>
      </c>
      <c r="AY44">
        <f t="shared" si="13"/>
        <v>1.695610369696561</v>
      </c>
    </row>
    <row r="45" spans="1:51" ht="12.75">
      <c r="A45">
        <v>30</v>
      </c>
      <c r="B45">
        <f t="shared" si="5"/>
        <v>0.8404255319148937</v>
      </c>
      <c r="C45">
        <f t="shared" si="0"/>
        <v>0.9962083411220801</v>
      </c>
      <c r="D45">
        <v>72.1035</v>
      </c>
      <c r="E45">
        <v>48.143</v>
      </c>
      <c r="F45" s="10">
        <f t="shared" si="1"/>
        <v>1.6825331495628313</v>
      </c>
      <c r="G45">
        <v>59.6247</v>
      </c>
      <c r="H45" s="10">
        <f t="shared" si="2"/>
        <v>1.7754262069132045</v>
      </c>
      <c r="U45">
        <v>30</v>
      </c>
      <c r="V45">
        <f t="shared" si="8"/>
        <v>0.948</v>
      </c>
      <c r="W45">
        <f t="shared" si="4"/>
        <v>1.6257632924497023</v>
      </c>
      <c r="X45">
        <v>7.4968</v>
      </c>
      <c r="Y45">
        <v>9.6154</v>
      </c>
      <c r="AA45">
        <v>10.5903</v>
      </c>
      <c r="AB45">
        <f t="shared" si="9"/>
        <v>1.0249082628930526</v>
      </c>
      <c r="AO45">
        <v>13.684</v>
      </c>
      <c r="AP45">
        <v>28.528</v>
      </c>
      <c r="AR45">
        <f t="shared" si="10"/>
        <v>1.4552713258312793</v>
      </c>
      <c r="AT45">
        <v>29</v>
      </c>
      <c r="AU45">
        <f t="shared" si="12"/>
        <v>0.8357664233576643</v>
      </c>
      <c r="AV45">
        <f t="shared" si="11"/>
        <v>0.9772060374760962</v>
      </c>
      <c r="AW45">
        <v>50.6538</v>
      </c>
      <c r="AY45">
        <f t="shared" si="13"/>
        <v>1.7046120312782735</v>
      </c>
    </row>
    <row r="46" spans="1:51" ht="12.75">
      <c r="A46">
        <v>31</v>
      </c>
      <c r="B46">
        <f t="shared" si="5"/>
        <v>0.8687943262411347</v>
      </c>
      <c r="C46">
        <f t="shared" si="0"/>
        <v>1.1207101623715605</v>
      </c>
      <c r="D46">
        <v>60.5104</v>
      </c>
      <c r="E46">
        <v>40.8494</v>
      </c>
      <c r="F46" s="10">
        <f t="shared" si="1"/>
        <v>1.6111856819552686</v>
      </c>
      <c r="G46">
        <v>61.562</v>
      </c>
      <c r="H46" s="10">
        <f t="shared" si="2"/>
        <v>1.7893127205625352</v>
      </c>
      <c r="U46">
        <v>31</v>
      </c>
      <c r="V46">
        <f t="shared" si="8"/>
        <v>0.98</v>
      </c>
      <c r="W46">
        <f t="shared" si="4"/>
        <v>2.0537475189510417</v>
      </c>
      <c r="X46">
        <v>6.3069</v>
      </c>
      <c r="Y46">
        <v>9.6052</v>
      </c>
      <c r="AA46">
        <v>10.6487</v>
      </c>
      <c r="AB46">
        <f t="shared" si="9"/>
        <v>1.0272965920670207</v>
      </c>
      <c r="AO46">
        <v>4.4751</v>
      </c>
      <c r="AP46">
        <v>46.6999</v>
      </c>
      <c r="AR46">
        <f t="shared" si="10"/>
        <v>1.6693159505983457</v>
      </c>
      <c r="AT46">
        <v>30</v>
      </c>
      <c r="AU46">
        <f t="shared" si="12"/>
        <v>0.864963503649635</v>
      </c>
      <c r="AV46">
        <f t="shared" si="11"/>
        <v>1.1028946682282466</v>
      </c>
      <c r="AW46">
        <v>51.2308</v>
      </c>
      <c r="AY46">
        <f t="shared" si="13"/>
        <v>1.7095311377009126</v>
      </c>
    </row>
    <row r="47" spans="1:51" ht="12.75">
      <c r="A47">
        <v>32</v>
      </c>
      <c r="B47">
        <f t="shared" si="5"/>
        <v>0.8971631205673759</v>
      </c>
      <c r="C47">
        <f t="shared" si="0"/>
        <v>1.265551700801451</v>
      </c>
      <c r="D47">
        <v>69.7179</v>
      </c>
      <c r="E47">
        <v>35.7353</v>
      </c>
      <c r="F47" s="10">
        <f t="shared" si="1"/>
        <v>1.5530974323808737</v>
      </c>
      <c r="G47">
        <v>62.2028</v>
      </c>
      <c r="H47" s="10">
        <f t="shared" si="2"/>
        <v>1.7938099344847065</v>
      </c>
      <c r="X47" t="s">
        <v>134</v>
      </c>
      <c r="Y47">
        <f>AVERAGE(Y16:Y46)</f>
        <v>6.848125806451612</v>
      </c>
      <c r="AB47">
        <f>AVERAGE(AB16:AB46)</f>
        <v>0.8073621051311034</v>
      </c>
      <c r="AO47">
        <v>3.2404</v>
      </c>
      <c r="AP47">
        <v>42.3851</v>
      </c>
      <c r="AR47">
        <f t="shared" si="10"/>
        <v>1.6272132121340488</v>
      </c>
      <c r="AT47">
        <v>31</v>
      </c>
      <c r="AU47">
        <f t="shared" si="12"/>
        <v>0.8941605839416058</v>
      </c>
      <c r="AV47">
        <f t="shared" si="11"/>
        <v>1.2489627423072553</v>
      </c>
      <c r="AW47">
        <v>60.5506</v>
      </c>
      <c r="AY47">
        <f t="shared" si="13"/>
        <v>1.782118450953854</v>
      </c>
    </row>
    <row r="48" spans="1:51" ht="12.75">
      <c r="A48">
        <v>33</v>
      </c>
      <c r="B48">
        <f t="shared" si="5"/>
        <v>0.925531914893617</v>
      </c>
      <c r="C48">
        <f t="shared" si="0"/>
        <v>1.443299625520245</v>
      </c>
      <c r="D48">
        <v>51.7766</v>
      </c>
      <c r="E48">
        <v>30.2856</v>
      </c>
      <c r="F48" s="10">
        <f t="shared" si="1"/>
        <v>1.481236182064301</v>
      </c>
      <c r="G48">
        <v>63.7845</v>
      </c>
      <c r="H48" s="10">
        <f t="shared" si="2"/>
        <v>1.8047151554874996</v>
      </c>
      <c r="X48" t="s">
        <v>135</v>
      </c>
      <c r="Y48">
        <f>STDEV(Y16:Y46)</f>
        <v>2.263690887756506</v>
      </c>
      <c r="AB48" s="1">
        <f>STDEV(AB16:AB46)</f>
        <v>0.17099906863545225</v>
      </c>
      <c r="AO48">
        <v>7.7047</v>
      </c>
      <c r="AP48">
        <v>39.0254</v>
      </c>
      <c r="AR48">
        <f t="shared" si="10"/>
        <v>1.5913473631605275</v>
      </c>
      <c r="AT48">
        <v>32</v>
      </c>
      <c r="AU48">
        <f t="shared" si="12"/>
        <v>0.9233576642335767</v>
      </c>
      <c r="AV48">
        <f t="shared" si="11"/>
        <v>1.428025290089057</v>
      </c>
      <c r="AW48">
        <v>78.27</v>
      </c>
      <c r="AY48">
        <f t="shared" si="13"/>
        <v>1.8935953338198832</v>
      </c>
    </row>
    <row r="49" spans="1:51" ht="12.75">
      <c r="A49">
        <v>34</v>
      </c>
      <c r="B49">
        <f t="shared" si="5"/>
        <v>0.9539007092198581</v>
      </c>
      <c r="C49">
        <f t="shared" si="0"/>
        <v>1.6839122172884795</v>
      </c>
      <c r="D49">
        <v>57.2467</v>
      </c>
      <c r="E49">
        <v>24.5861</v>
      </c>
      <c r="F49" s="10">
        <f t="shared" si="1"/>
        <v>1.3906896437119267</v>
      </c>
      <c r="G49">
        <v>78.5209</v>
      </c>
      <c r="H49" s="10">
        <f t="shared" si="2"/>
        <v>1.8949852688035884</v>
      </c>
      <c r="X49" t="s">
        <v>136</v>
      </c>
      <c r="Y49">
        <f>COUNT(Y12:Y46)</f>
        <v>31</v>
      </c>
      <c r="AB49">
        <f>COUNT(AB12:AB46)</f>
        <v>31</v>
      </c>
      <c r="AO49">
        <v>6.195</v>
      </c>
      <c r="AP49">
        <v>33.6929</v>
      </c>
      <c r="AR49">
        <f t="shared" si="10"/>
        <v>1.5275383929874837</v>
      </c>
      <c r="AT49">
        <v>33</v>
      </c>
      <c r="AU49">
        <f t="shared" si="12"/>
        <v>0.9525547445255474</v>
      </c>
      <c r="AV49">
        <f t="shared" si="11"/>
        <v>1.6701456170803608</v>
      </c>
      <c r="AW49">
        <v>86.0506</v>
      </c>
      <c r="AY49">
        <f t="shared" si="13"/>
        <v>1.9347539028539416</v>
      </c>
    </row>
    <row r="50" spans="1:51" ht="12.75">
      <c r="A50">
        <v>35</v>
      </c>
      <c r="B50">
        <f t="shared" si="5"/>
        <v>0.9822695035460993</v>
      </c>
      <c r="C50">
        <f t="shared" si="0"/>
        <v>2.1030532090699507</v>
      </c>
      <c r="D50">
        <v>60.3218</v>
      </c>
      <c r="E50">
        <v>18.8804</v>
      </c>
      <c r="F50" s="10">
        <f t="shared" si="1"/>
        <v>1.2760111910188594</v>
      </c>
      <c r="G50" s="10">
        <v>98.33</v>
      </c>
      <c r="H50" s="10">
        <f t="shared" si="2"/>
        <v>1.992686039162128</v>
      </c>
      <c r="X50" t="s">
        <v>137</v>
      </c>
      <c r="Y50">
        <f>(Y48/Y49^0.5)</f>
        <v>0.4065708855907655</v>
      </c>
      <c r="AB50">
        <f>(AB48/AB49^0.5)</f>
        <v>0.030712339368567616</v>
      </c>
      <c r="AT50">
        <v>34</v>
      </c>
      <c r="AU50">
        <f t="shared" si="12"/>
        <v>0.9817518248175182</v>
      </c>
      <c r="AV50">
        <f t="shared" si="11"/>
        <v>2.091352481325317</v>
      </c>
      <c r="AW50">
        <v>122.1422</v>
      </c>
      <c r="AY50">
        <f t="shared" si="13"/>
        <v>2.086865738152523</v>
      </c>
    </row>
    <row r="51" spans="3:44" ht="12.75">
      <c r="C51" t="s">
        <v>134</v>
      </c>
      <c r="E51">
        <f>AVERAGE(E16:E50)</f>
        <v>47.73921999999998</v>
      </c>
      <c r="F51">
        <f>AVERAGE(F16:F50)</f>
        <v>1.6530624849691</v>
      </c>
      <c r="X51" t="s">
        <v>138</v>
      </c>
      <c r="Y51" s="1">
        <f>Y48/Y47</f>
        <v>0.33055626484313205</v>
      </c>
      <c r="AN51" t="s">
        <v>134</v>
      </c>
      <c r="AP51">
        <f>AVERAGE(AP16:AP49)</f>
        <v>39.392658823529416</v>
      </c>
      <c r="AR51">
        <f>AVERAGE(AR16:AR49)</f>
        <v>1.5393876529583899</v>
      </c>
    </row>
    <row r="52" spans="3:44" ht="12.75">
      <c r="C52" t="s">
        <v>135</v>
      </c>
      <c r="E52">
        <f>STDEV(E16:E50)</f>
        <v>15.8847749722772</v>
      </c>
      <c r="F52" s="1">
        <f>STDEV(F16:F50)</f>
        <v>0.1598448328589221</v>
      </c>
      <c r="AN52" t="s">
        <v>135</v>
      </c>
      <c r="AP52">
        <f>STDEV(AP16:AP49)</f>
        <v>22.170067200471102</v>
      </c>
      <c r="AR52" s="1">
        <f>STDEV(AR16:AR49)</f>
        <v>0.22166929341441977</v>
      </c>
    </row>
    <row r="53" spans="3:44" ht="12.75">
      <c r="C53" t="s">
        <v>136</v>
      </c>
      <c r="E53">
        <f>COUNT(E16:E50)</f>
        <v>35</v>
      </c>
      <c r="F53">
        <f>COUNT(F16:F50)</f>
        <v>35</v>
      </c>
      <c r="AN53" t="s">
        <v>136</v>
      </c>
      <c r="AP53">
        <f>COUNT(AP16:AP49)</f>
        <v>34</v>
      </c>
      <c r="AR53">
        <f>COUNT(AR16:AR49)</f>
        <v>34</v>
      </c>
    </row>
    <row r="54" spans="3:42" ht="12.75">
      <c r="C54" t="s">
        <v>137</v>
      </c>
      <c r="E54">
        <f>(E52/E53^0.5)</f>
        <v>2.685017030645026</v>
      </c>
      <c r="F54">
        <f>(F52/F53^0.5)</f>
        <v>0.027018708117417318</v>
      </c>
      <c r="AN54" t="s">
        <v>137</v>
      </c>
      <c r="AP54">
        <f>(AP52/AP53^0.5)</f>
        <v>3.802135157395136</v>
      </c>
    </row>
    <row r="55" spans="3:42" ht="12.75">
      <c r="C55" t="s">
        <v>138</v>
      </c>
      <c r="E55" s="1">
        <f>E52/E51</f>
        <v>0.332740563676516</v>
      </c>
      <c r="AN55" t="s">
        <v>138</v>
      </c>
      <c r="AP55" s="1">
        <f>AP52/AP51</f>
        <v>0.562796923654943</v>
      </c>
    </row>
  </sheetData>
  <printOptions/>
  <pageMargins left="0.75" right="0.75" top="1" bottom="1" header="0.5" footer="0.5"/>
  <pageSetup orientation="portrait"/>
  <drawing r:id="rId1"/>
</worksheet>
</file>

<file path=xl/worksheets/sheet31.xml><?xml version="1.0" encoding="utf-8"?>
<worksheet xmlns="http://schemas.openxmlformats.org/spreadsheetml/2006/main" xmlns:r="http://schemas.openxmlformats.org/officeDocument/2006/relationships">
  <dimension ref="A1:Y24"/>
  <sheetViews>
    <sheetView workbookViewId="0" topLeftCell="A1">
      <selection activeCell="D11" sqref="D11:I12"/>
    </sheetView>
  </sheetViews>
  <sheetFormatPr defaultColWidth="9.140625" defaultRowHeight="12.75"/>
  <cols>
    <col min="1" max="11" width="8.8515625" style="0" customWidth="1"/>
    <col min="12" max="12" width="21.8515625" style="0" customWidth="1"/>
    <col min="13" max="13" width="26.28125" style="0" customWidth="1"/>
    <col min="14" max="14" width="20.7109375" style="0" customWidth="1"/>
    <col min="15" max="15" width="26.00390625" style="0" customWidth="1"/>
    <col min="16" max="16384" width="8.8515625" style="0" customWidth="1"/>
  </cols>
  <sheetData>
    <row r="1" spans="1:17" ht="63.75">
      <c r="A1" s="7" t="s">
        <v>69</v>
      </c>
      <c r="B1" s="7" t="s">
        <v>57</v>
      </c>
      <c r="C1" s="7" t="s">
        <v>58</v>
      </c>
      <c r="D1" s="7" t="s">
        <v>59</v>
      </c>
      <c r="E1" s="7" t="s">
        <v>60</v>
      </c>
      <c r="F1" s="7" t="s">
        <v>92</v>
      </c>
      <c r="G1" s="7" t="s">
        <v>61</v>
      </c>
      <c r="H1" s="7" t="s">
        <v>62</v>
      </c>
      <c r="I1" s="7" t="s">
        <v>63</v>
      </c>
      <c r="J1" s="8" t="s">
        <v>64</v>
      </c>
      <c r="K1" s="8" t="s">
        <v>138</v>
      </c>
      <c r="L1" s="7" t="s">
        <v>1126</v>
      </c>
      <c r="M1" s="7" t="s">
        <v>1127</v>
      </c>
      <c r="N1" s="7" t="s">
        <v>66</v>
      </c>
      <c r="O1" s="7" t="s">
        <v>85</v>
      </c>
      <c r="P1" s="7" t="s">
        <v>67</v>
      </c>
      <c r="Q1" s="7" t="s">
        <v>68</v>
      </c>
    </row>
    <row r="2" spans="2:16" ht="12.75">
      <c r="B2" t="s">
        <v>1107</v>
      </c>
      <c r="D2" t="s">
        <v>985</v>
      </c>
      <c r="E2" t="s">
        <v>986</v>
      </c>
      <c r="F2" t="s">
        <v>983</v>
      </c>
      <c r="G2" t="s">
        <v>102</v>
      </c>
      <c r="H2" t="s">
        <v>987</v>
      </c>
      <c r="I2" t="s">
        <v>923</v>
      </c>
      <c r="J2">
        <v>0.36545289021243127</v>
      </c>
      <c r="K2">
        <v>0.7637256160487202</v>
      </c>
      <c r="L2" t="s">
        <v>949</v>
      </c>
      <c r="N2" t="s">
        <v>95</v>
      </c>
      <c r="O2">
        <v>0.9394</v>
      </c>
      <c r="P2">
        <v>6</v>
      </c>
    </row>
    <row r="3" spans="2:16" ht="12.75">
      <c r="B3" t="s">
        <v>1107</v>
      </c>
      <c r="D3" t="s">
        <v>985</v>
      </c>
      <c r="E3" t="s">
        <v>986</v>
      </c>
      <c r="F3" t="s">
        <v>983</v>
      </c>
      <c r="G3" t="s">
        <v>102</v>
      </c>
      <c r="H3" t="s">
        <v>987</v>
      </c>
      <c r="I3" t="s">
        <v>924</v>
      </c>
      <c r="J3">
        <v>0.28754877386486444</v>
      </c>
      <c r="K3">
        <v>0.6755603773582125</v>
      </c>
      <c r="L3" t="s">
        <v>949</v>
      </c>
      <c r="N3" t="s">
        <v>95</v>
      </c>
      <c r="O3">
        <v>0.9817</v>
      </c>
      <c r="P3">
        <v>6</v>
      </c>
    </row>
    <row r="4" spans="2:16" ht="12.75">
      <c r="B4" t="s">
        <v>1107</v>
      </c>
      <c r="D4" t="s">
        <v>985</v>
      </c>
      <c r="E4" t="s">
        <v>986</v>
      </c>
      <c r="F4" t="s">
        <v>983</v>
      </c>
      <c r="G4" t="s">
        <v>102</v>
      </c>
      <c r="H4" t="s">
        <v>987</v>
      </c>
      <c r="I4" t="s">
        <v>925</v>
      </c>
      <c r="J4">
        <v>0.4170166227578928</v>
      </c>
      <c r="K4">
        <v>0.9677514812768281</v>
      </c>
      <c r="L4" t="s">
        <v>949</v>
      </c>
      <c r="N4" t="s">
        <v>95</v>
      </c>
      <c r="O4">
        <v>0.8608</v>
      </c>
      <c r="P4">
        <v>6</v>
      </c>
    </row>
    <row r="9" spans="4:18" ht="13.5" thickBot="1">
      <c r="D9" s="60" t="s">
        <v>984</v>
      </c>
      <c r="E9" s="24"/>
      <c r="F9" s="24"/>
      <c r="G9" s="24"/>
      <c r="H9" s="24"/>
      <c r="I9" s="24"/>
      <c r="R9" t="s">
        <v>1052</v>
      </c>
    </row>
    <row r="10" spans="4:9" ht="12.75">
      <c r="D10" s="47"/>
      <c r="E10" s="47"/>
      <c r="F10" s="47"/>
      <c r="G10" s="47"/>
      <c r="H10" s="47"/>
      <c r="I10" s="47"/>
    </row>
    <row r="11" spans="4:25" ht="12.75">
      <c r="D11" s="46" t="s">
        <v>177</v>
      </c>
      <c r="E11" s="52" t="s">
        <v>192</v>
      </c>
      <c r="F11" s="52" t="s">
        <v>969</v>
      </c>
      <c r="G11" s="52" t="s">
        <v>970</v>
      </c>
      <c r="H11" s="52" t="s">
        <v>971</v>
      </c>
      <c r="I11" s="52" t="s">
        <v>972</v>
      </c>
      <c r="K11" t="s">
        <v>188</v>
      </c>
      <c r="L11" t="s">
        <v>191</v>
      </c>
      <c r="M11" t="s">
        <v>922</v>
      </c>
      <c r="N11" t="s">
        <v>1129</v>
      </c>
      <c r="S11" t="s">
        <v>970</v>
      </c>
      <c r="T11" t="s">
        <v>971</v>
      </c>
      <c r="U11" t="s">
        <v>972</v>
      </c>
      <c r="W11" t="s">
        <v>188</v>
      </c>
      <c r="X11" t="s">
        <v>191</v>
      </c>
      <c r="Y11" t="s">
        <v>922</v>
      </c>
    </row>
    <row r="12" spans="4:21" ht="13.5" thickBot="1">
      <c r="D12" s="63"/>
      <c r="E12" s="59" t="s">
        <v>973</v>
      </c>
      <c r="F12" s="59"/>
      <c r="G12" s="53" t="s">
        <v>974</v>
      </c>
      <c r="H12" s="53" t="s">
        <v>1119</v>
      </c>
      <c r="I12" s="53" t="s">
        <v>975</v>
      </c>
      <c r="P12" t="s">
        <v>948</v>
      </c>
      <c r="Q12" t="s">
        <v>190</v>
      </c>
      <c r="S12" t="s">
        <v>974</v>
      </c>
      <c r="T12" t="s">
        <v>1119</v>
      </c>
      <c r="U12" t="s">
        <v>975</v>
      </c>
    </row>
    <row r="13" spans="4:25" ht="12.75">
      <c r="D13" s="23" t="s">
        <v>976</v>
      </c>
      <c r="E13" s="54">
        <v>10</v>
      </c>
      <c r="F13" s="54" t="s">
        <v>982</v>
      </c>
      <c r="G13" s="54">
        <v>0.78</v>
      </c>
      <c r="H13" s="54">
        <v>22.1</v>
      </c>
      <c r="I13" s="54">
        <v>0.035</v>
      </c>
      <c r="K13">
        <f aca="true" t="shared" si="0" ref="K13:M18">LOG(G13)</f>
        <v>-0.10790539730951958</v>
      </c>
      <c r="L13">
        <f t="shared" si="0"/>
        <v>1.3443922736851108</v>
      </c>
      <c r="M13">
        <f t="shared" si="0"/>
        <v>-1.4559319556497243</v>
      </c>
      <c r="N13">
        <f aca="true" t="shared" si="1" ref="N13:N18">G13/H13</f>
        <v>0.03529411764705882</v>
      </c>
      <c r="O13">
        <v>1</v>
      </c>
      <c r="P13">
        <f aca="true" t="shared" si="2" ref="P13:P18">(O13-3/8)/6.25</f>
        <v>0.1</v>
      </c>
      <c r="Q13">
        <f aca="true" t="shared" si="3" ref="Q13:Q18">NORMSINV(P13)</f>
        <v>-1.2815519393373522</v>
      </c>
      <c r="S13">
        <v>0.22</v>
      </c>
      <c r="T13">
        <v>6.6</v>
      </c>
      <c r="U13">
        <v>0.022</v>
      </c>
      <c r="W13">
        <v>-0.6575773191777937</v>
      </c>
      <c r="X13">
        <v>0.8195439355418687</v>
      </c>
      <c r="Y13">
        <v>-1.6575773191777938</v>
      </c>
    </row>
    <row r="14" spans="4:25" ht="12.75">
      <c r="D14" s="23" t="s">
        <v>977</v>
      </c>
      <c r="E14" s="54">
        <v>23</v>
      </c>
      <c r="F14" s="54" t="s">
        <v>982</v>
      </c>
      <c r="G14" s="54">
        <v>0.7</v>
      </c>
      <c r="H14" s="54">
        <v>18.8</v>
      </c>
      <c r="I14" s="54">
        <v>0.046</v>
      </c>
      <c r="K14">
        <f t="shared" si="0"/>
        <v>-0.1549019599857432</v>
      </c>
      <c r="L14">
        <f t="shared" si="0"/>
        <v>1.2741578492636798</v>
      </c>
      <c r="M14">
        <f t="shared" si="0"/>
        <v>-1.337242168318426</v>
      </c>
      <c r="N14">
        <f t="shared" si="1"/>
        <v>0.03723404255319149</v>
      </c>
      <c r="O14">
        <v>2</v>
      </c>
      <c r="P14">
        <f t="shared" si="2"/>
        <v>0.26</v>
      </c>
      <c r="Q14">
        <f t="shared" si="3"/>
        <v>-0.6433452029738813</v>
      </c>
      <c r="S14">
        <v>0.7</v>
      </c>
      <c r="T14">
        <v>8.4</v>
      </c>
      <c r="U14">
        <v>0.033</v>
      </c>
      <c r="W14">
        <v>-0.1549019599857432</v>
      </c>
      <c r="X14">
        <v>0.9242792860618817</v>
      </c>
      <c r="Y14">
        <v>-1.4814860601221125</v>
      </c>
    </row>
    <row r="15" spans="4:25" ht="12.75">
      <c r="D15" s="23" t="s">
        <v>978</v>
      </c>
      <c r="E15" s="54">
        <v>51</v>
      </c>
      <c r="F15" s="54" t="s">
        <v>982</v>
      </c>
      <c r="G15" s="54">
        <v>0.88</v>
      </c>
      <c r="H15" s="54">
        <v>39.7</v>
      </c>
      <c r="I15" s="54">
        <v>0.022</v>
      </c>
      <c r="K15">
        <f t="shared" si="0"/>
        <v>-0.05551732784983137</v>
      </c>
      <c r="L15">
        <f t="shared" si="0"/>
        <v>1.5987905067631152</v>
      </c>
      <c r="M15">
        <f t="shared" si="0"/>
        <v>-1.6575773191777938</v>
      </c>
      <c r="N15">
        <f t="shared" si="1"/>
        <v>0.02216624685138539</v>
      </c>
      <c r="O15">
        <v>3</v>
      </c>
      <c r="P15">
        <f t="shared" si="2"/>
        <v>0.42</v>
      </c>
      <c r="Q15">
        <f t="shared" si="3"/>
        <v>-0.2018935396792244</v>
      </c>
      <c r="S15">
        <v>0.78</v>
      </c>
      <c r="T15">
        <v>12.5</v>
      </c>
      <c r="U15">
        <v>0.035</v>
      </c>
      <c r="W15">
        <v>-0.10790539730952</v>
      </c>
      <c r="X15">
        <v>1.0969100130080565</v>
      </c>
      <c r="Y15">
        <v>-1.4559319556497243</v>
      </c>
    </row>
    <row r="16" spans="4:25" ht="12.75">
      <c r="D16" s="23" t="s">
        <v>979</v>
      </c>
      <c r="E16" s="54">
        <v>16</v>
      </c>
      <c r="F16" s="54" t="s">
        <v>164</v>
      </c>
      <c r="G16" s="54">
        <v>2.67</v>
      </c>
      <c r="H16" s="54">
        <v>12.5</v>
      </c>
      <c r="I16" s="54">
        <v>0.214</v>
      </c>
      <c r="K16">
        <f t="shared" si="0"/>
        <v>0.42651126136457523</v>
      </c>
      <c r="L16">
        <f t="shared" si="0"/>
        <v>1.0969100130080565</v>
      </c>
      <c r="M16">
        <f t="shared" si="0"/>
        <v>-0.6695862266508091</v>
      </c>
      <c r="N16">
        <f t="shared" si="1"/>
        <v>0.21359999999999998</v>
      </c>
      <c r="O16">
        <v>4</v>
      </c>
      <c r="P16">
        <f t="shared" si="2"/>
        <v>0.58</v>
      </c>
      <c r="Q16">
        <f t="shared" si="3"/>
        <v>0.20189353967922397</v>
      </c>
      <c r="S16">
        <v>0.88</v>
      </c>
      <c r="T16">
        <v>18.8</v>
      </c>
      <c r="U16">
        <v>0.046</v>
      </c>
      <c r="W16">
        <v>-0.05551732784983137</v>
      </c>
      <c r="X16">
        <v>1.2741578492636798</v>
      </c>
      <c r="Y16">
        <v>-1.337242168318426</v>
      </c>
    </row>
    <row r="17" spans="4:25" ht="12.75">
      <c r="D17" s="23" t="s">
        <v>980</v>
      </c>
      <c r="E17" s="54">
        <v>22</v>
      </c>
      <c r="F17" s="54" t="s">
        <v>164</v>
      </c>
      <c r="G17" s="54">
        <v>1.55</v>
      </c>
      <c r="H17" s="54">
        <v>8.4</v>
      </c>
      <c r="I17" s="54">
        <v>0.185</v>
      </c>
      <c r="K17">
        <f t="shared" si="0"/>
        <v>0.1903316981702915</v>
      </c>
      <c r="L17">
        <f t="shared" si="0"/>
        <v>0.9242792860618817</v>
      </c>
      <c r="M17">
        <f t="shared" si="0"/>
        <v>-0.7328282715969862</v>
      </c>
      <c r="N17">
        <f t="shared" si="1"/>
        <v>0.18452380952380953</v>
      </c>
      <c r="O17">
        <v>5</v>
      </c>
      <c r="P17">
        <f t="shared" si="2"/>
        <v>0.74</v>
      </c>
      <c r="Q17">
        <f t="shared" si="3"/>
        <v>0.6433452029738806</v>
      </c>
      <c r="S17">
        <v>1.55</v>
      </c>
      <c r="T17">
        <v>22.1</v>
      </c>
      <c r="U17">
        <v>0.185</v>
      </c>
      <c r="W17">
        <v>0.1903316981702915</v>
      </c>
      <c r="X17">
        <v>1.3443922736851108</v>
      </c>
      <c r="Y17">
        <v>-0.7328282715969862</v>
      </c>
    </row>
    <row r="18" spans="4:25" ht="12.75">
      <c r="D18" s="23" t="s">
        <v>981</v>
      </c>
      <c r="E18" s="54">
        <v>25</v>
      </c>
      <c r="F18" s="54" t="s">
        <v>982</v>
      </c>
      <c r="G18" s="54">
        <v>0.22</v>
      </c>
      <c r="H18" s="54">
        <v>6.6</v>
      </c>
      <c r="I18" s="54">
        <v>0.033</v>
      </c>
      <c r="K18">
        <f t="shared" si="0"/>
        <v>-0.6575773191777937</v>
      </c>
      <c r="L18">
        <f t="shared" si="0"/>
        <v>0.8195439355418687</v>
      </c>
      <c r="M18">
        <f t="shared" si="0"/>
        <v>-1.4814860601221125</v>
      </c>
      <c r="N18">
        <f t="shared" si="1"/>
        <v>0.03333333333333333</v>
      </c>
      <c r="O18">
        <v>6</v>
      </c>
      <c r="P18">
        <f t="shared" si="2"/>
        <v>0.9</v>
      </c>
      <c r="Q18">
        <f t="shared" si="3"/>
        <v>1.2815519393373522</v>
      </c>
      <c r="S18">
        <v>2.67</v>
      </c>
      <c r="T18">
        <v>39.7</v>
      </c>
      <c r="U18">
        <v>0.214</v>
      </c>
      <c r="W18">
        <v>0.42651126136457523</v>
      </c>
      <c r="X18">
        <v>1.5987905067631152</v>
      </c>
      <c r="Y18">
        <v>-0.6695862266508091</v>
      </c>
    </row>
    <row r="20" spans="6:13" ht="12.75">
      <c r="F20" t="s">
        <v>134</v>
      </c>
      <c r="G20">
        <f>AVERAGE(G13:G18)</f>
        <v>1.133333333333333</v>
      </c>
      <c r="H20">
        <f>AVERAGE(H13:H18)</f>
        <v>18.01666666666667</v>
      </c>
      <c r="I20">
        <f>AVERAGE(I13:I18)</f>
        <v>0.08916666666666667</v>
      </c>
      <c r="K20">
        <f>AVERAGE(K13:K18)</f>
        <v>-0.05984317413133686</v>
      </c>
      <c r="L20">
        <f>AVERAGE(L13:L18)</f>
        <v>1.1763456440539521</v>
      </c>
      <c r="M20">
        <f>AVERAGE(M13:M18)</f>
        <v>-1.2224420002526417</v>
      </c>
    </row>
    <row r="21" spans="6:13" ht="12.75">
      <c r="F21" t="s">
        <v>135</v>
      </c>
      <c r="G21">
        <f>STDEV(G13:G18)</f>
        <v>0.8655556981885494</v>
      </c>
      <c r="H21">
        <f>STDEV(H13:H18)</f>
        <v>12.171346132070465</v>
      </c>
      <c r="I21">
        <f>STDEV(I13:I18)</f>
        <v>0.08629117374718384</v>
      </c>
      <c r="K21" s="1">
        <f>STDEV(K13:K18)</f>
        <v>0.36545289021243127</v>
      </c>
      <c r="L21" s="1">
        <f>STDEV(L13:L18)</f>
        <v>0.28754877386486444</v>
      </c>
      <c r="M21" s="1">
        <f>STDEV(M13:M18)</f>
        <v>0.4170166227578928</v>
      </c>
    </row>
    <row r="22" spans="6:13" ht="12.75">
      <c r="F22" t="s">
        <v>136</v>
      </c>
      <c r="G22">
        <f>COUNT(G13:G18)</f>
        <v>6</v>
      </c>
      <c r="H22">
        <f>COUNT(H13:H18)</f>
        <v>6</v>
      </c>
      <c r="I22">
        <f>COUNT(I13:I18)</f>
        <v>6</v>
      </c>
      <c r="K22">
        <f>COUNT(K13:K18)</f>
        <v>6</v>
      </c>
      <c r="L22">
        <f>COUNT(L13:L18)</f>
        <v>6</v>
      </c>
      <c r="M22">
        <f>COUNT(M13:M18)</f>
        <v>6</v>
      </c>
    </row>
    <row r="23" spans="6:13" ht="12.75">
      <c r="F23" t="s">
        <v>137</v>
      </c>
      <c r="G23">
        <f>G21/(G22^0.5)</f>
        <v>0.3533616340867307</v>
      </c>
      <c r="H23">
        <f>H21/(H22^0.5)</f>
        <v>4.968931251061719</v>
      </c>
      <c r="I23">
        <f>I21/(I22^0.5)</f>
        <v>0.03522822416440798</v>
      </c>
      <c r="K23">
        <f>K21/(K22^0.5)</f>
        <v>0.1491955176743029</v>
      </c>
      <c r="L23">
        <f>L21/(L22^0.5)</f>
        <v>0.11739129535531084</v>
      </c>
      <c r="M23">
        <f>M21/(M22^0.5)</f>
        <v>0.17024632333592343</v>
      </c>
    </row>
    <row r="24" spans="6:9" ht="12.75">
      <c r="F24" t="s">
        <v>138</v>
      </c>
      <c r="G24" s="1">
        <f>G21/G20</f>
        <v>0.7637256160487202</v>
      </c>
      <c r="H24" s="1">
        <f>H21/H20</f>
        <v>0.6755603773582125</v>
      </c>
      <c r="I24" s="1">
        <f>I21/I20</f>
        <v>0.9677514812768281</v>
      </c>
    </row>
  </sheetData>
  <printOptions/>
  <pageMargins left="0.75" right="0.75" top="1" bottom="1" header="0.5" footer="0.5"/>
  <pageSetup orientation="portrait"/>
  <drawing r:id="rId1"/>
</worksheet>
</file>

<file path=xl/worksheets/sheet32.xml><?xml version="1.0" encoding="utf-8"?>
<worksheet xmlns="http://schemas.openxmlformats.org/spreadsheetml/2006/main" xmlns:r="http://schemas.openxmlformats.org/officeDocument/2006/relationships">
  <dimension ref="A1:Q25"/>
  <sheetViews>
    <sheetView workbookViewId="0" topLeftCell="A1">
      <selection activeCell="P3" sqref="P3"/>
    </sheetView>
  </sheetViews>
  <sheetFormatPr defaultColWidth="9.140625" defaultRowHeight="12.75"/>
  <cols>
    <col min="1" max="1" width="29.421875" style="0" customWidth="1"/>
    <col min="2" max="2" width="10.00390625" style="0" bestFit="1" customWidth="1"/>
    <col min="3" max="3" width="8.8515625" style="0" customWidth="1"/>
    <col min="4" max="4" width="13.7109375" style="0" customWidth="1"/>
    <col min="5" max="5" width="18.00390625" style="0" customWidth="1"/>
    <col min="6" max="6" width="10.00390625" style="0" bestFit="1" customWidth="1"/>
    <col min="7" max="11" width="8.8515625" style="0" customWidth="1"/>
    <col min="12" max="12" width="14.00390625" style="0" customWidth="1"/>
    <col min="13" max="14" width="13.00390625" style="0" customWidth="1"/>
    <col min="15" max="16384" width="8.8515625" style="0" customWidth="1"/>
  </cols>
  <sheetData>
    <row r="1" spans="1:17" ht="81" customHeight="1">
      <c r="A1" s="7" t="s">
        <v>69</v>
      </c>
      <c r="B1" s="7" t="s">
        <v>57</v>
      </c>
      <c r="C1" s="7" t="s">
        <v>58</v>
      </c>
      <c r="D1" s="7" t="s">
        <v>59</v>
      </c>
      <c r="E1" s="7" t="s">
        <v>60</v>
      </c>
      <c r="F1" s="7" t="s">
        <v>92</v>
      </c>
      <c r="G1" s="7" t="s">
        <v>61</v>
      </c>
      <c r="H1" s="7" t="s">
        <v>62</v>
      </c>
      <c r="I1" s="7" t="s">
        <v>63</v>
      </c>
      <c r="J1" s="8" t="s">
        <v>64</v>
      </c>
      <c r="K1" s="8" t="s">
        <v>138</v>
      </c>
      <c r="L1" s="7" t="s">
        <v>1126</v>
      </c>
      <c r="M1" s="7" t="s">
        <v>1127</v>
      </c>
      <c r="N1" s="7" t="s">
        <v>66</v>
      </c>
      <c r="O1" s="7" t="s">
        <v>85</v>
      </c>
      <c r="P1" s="7" t="s">
        <v>67</v>
      </c>
      <c r="Q1" s="7" t="s">
        <v>68</v>
      </c>
    </row>
    <row r="2" spans="2:16" ht="12.75">
      <c r="B2" t="s">
        <v>1108</v>
      </c>
      <c r="E2" t="s">
        <v>748</v>
      </c>
      <c r="F2" t="s">
        <v>806</v>
      </c>
      <c r="G2" t="s">
        <v>1121</v>
      </c>
      <c r="H2" t="s">
        <v>94</v>
      </c>
      <c r="I2" t="s">
        <v>807</v>
      </c>
      <c r="J2">
        <v>0.22490555754446648</v>
      </c>
      <c r="K2">
        <v>0.4741933192916818</v>
      </c>
      <c r="L2" t="s">
        <v>812</v>
      </c>
      <c r="N2" t="s">
        <v>811</v>
      </c>
      <c r="O2">
        <v>0.9212</v>
      </c>
      <c r="P2">
        <v>6</v>
      </c>
    </row>
    <row r="3" spans="2:16" ht="12.75">
      <c r="B3" t="s">
        <v>1108</v>
      </c>
      <c r="E3" t="s">
        <v>749</v>
      </c>
      <c r="F3" t="s">
        <v>806</v>
      </c>
      <c r="G3" t="s">
        <v>1121</v>
      </c>
      <c r="H3" t="s">
        <v>94</v>
      </c>
      <c r="I3" t="s">
        <v>808</v>
      </c>
      <c r="J3">
        <v>0.21722772823200567</v>
      </c>
      <c r="K3">
        <v>0.5527089872028199</v>
      </c>
      <c r="L3" t="s">
        <v>812</v>
      </c>
      <c r="N3" t="s">
        <v>95</v>
      </c>
      <c r="O3">
        <v>0.9121</v>
      </c>
      <c r="P3">
        <v>6</v>
      </c>
    </row>
    <row r="10" spans="3:5" ht="12.75">
      <c r="C10" t="s">
        <v>1082</v>
      </c>
      <c r="E10" t="s">
        <v>1082</v>
      </c>
    </row>
    <row r="11" spans="1:15" ht="12.75">
      <c r="A11" t="s">
        <v>192</v>
      </c>
      <c r="C11" t="s">
        <v>1081</v>
      </c>
      <c r="E11" t="s">
        <v>1083</v>
      </c>
      <c r="I11" t="s">
        <v>99</v>
      </c>
      <c r="J11" t="s">
        <v>190</v>
      </c>
      <c r="L11" t="s">
        <v>1081</v>
      </c>
      <c r="M11" t="s">
        <v>809</v>
      </c>
      <c r="N11" t="s">
        <v>1083</v>
      </c>
      <c r="O11" t="s">
        <v>810</v>
      </c>
    </row>
    <row r="12" spans="1:15" ht="12.75">
      <c r="A12">
        <v>25</v>
      </c>
      <c r="B12" t="s">
        <v>1073</v>
      </c>
      <c r="C12">
        <v>400.328</v>
      </c>
      <c r="E12">
        <v>306.5885</v>
      </c>
      <c r="H12">
        <v>1</v>
      </c>
      <c r="I12">
        <f aca="true" t="shared" si="0" ref="I12:I17">(H12-3/8)/6.25</f>
        <v>0.1</v>
      </c>
      <c r="J12">
        <f aca="true" t="shared" si="1" ref="J12:J17">NORMSINV(I12)</f>
        <v>-1.2815519393373522</v>
      </c>
      <c r="L12">
        <v>322.6121</v>
      </c>
      <c r="M12">
        <f aca="true" t="shared" si="2" ref="M12:M17">LOG(L12)</f>
        <v>2.5086806521561127</v>
      </c>
      <c r="N12">
        <v>306.5885</v>
      </c>
      <c r="O12">
        <f aca="true" t="shared" si="3" ref="O12:O17">LOG(N12)</f>
        <v>2.486555860628567</v>
      </c>
    </row>
    <row r="13" spans="1:15" ht="12.75">
      <c r="A13">
        <v>28</v>
      </c>
      <c r="B13" t="s">
        <v>1074</v>
      </c>
      <c r="C13">
        <v>775.4364</v>
      </c>
      <c r="E13">
        <v>508.322</v>
      </c>
      <c r="H13">
        <v>2</v>
      </c>
      <c r="I13">
        <f t="shared" si="0"/>
        <v>0.26</v>
      </c>
      <c r="J13">
        <f t="shared" si="1"/>
        <v>-0.6433452029738813</v>
      </c>
      <c r="L13">
        <v>400.328</v>
      </c>
      <c r="M13">
        <f t="shared" si="2"/>
        <v>2.602415966873088</v>
      </c>
      <c r="N13">
        <v>322.6121</v>
      </c>
      <c r="O13">
        <f t="shared" si="3"/>
        <v>2.5086806521561127</v>
      </c>
    </row>
    <row r="14" spans="1:15" ht="12.75">
      <c r="A14">
        <v>32</v>
      </c>
      <c r="B14" t="s">
        <v>1075</v>
      </c>
      <c r="C14">
        <v>853.3084</v>
      </c>
      <c r="E14">
        <v>601.8173</v>
      </c>
      <c r="H14">
        <v>3</v>
      </c>
      <c r="I14">
        <f t="shared" si="0"/>
        <v>0.42</v>
      </c>
      <c r="J14">
        <f t="shared" si="1"/>
        <v>-0.2018935396792244</v>
      </c>
      <c r="L14">
        <v>775.4364</v>
      </c>
      <c r="M14">
        <f t="shared" si="2"/>
        <v>2.8895461835013485</v>
      </c>
      <c r="N14">
        <v>508.322</v>
      </c>
      <c r="O14">
        <f t="shared" si="3"/>
        <v>2.706138906224131</v>
      </c>
    </row>
    <row r="15" spans="1:15" ht="12.75">
      <c r="A15">
        <v>15</v>
      </c>
      <c r="B15" t="s">
        <v>1078</v>
      </c>
      <c r="C15">
        <v>789.7904</v>
      </c>
      <c r="E15">
        <v>603.3592</v>
      </c>
      <c r="H15">
        <v>4</v>
      </c>
      <c r="I15">
        <f t="shared" si="0"/>
        <v>0.58</v>
      </c>
      <c r="J15">
        <f t="shared" si="1"/>
        <v>0.20189353967922397</v>
      </c>
      <c r="L15">
        <v>789.7904</v>
      </c>
      <c r="M15">
        <f t="shared" si="2"/>
        <v>2.897511850529463</v>
      </c>
      <c r="N15">
        <v>601.8173</v>
      </c>
      <c r="O15">
        <f t="shared" si="3"/>
        <v>2.779464667928067</v>
      </c>
    </row>
    <row r="16" spans="1:15" ht="12.75">
      <c r="A16">
        <v>42</v>
      </c>
      <c r="B16" t="s">
        <v>1079</v>
      </c>
      <c r="C16">
        <v>322.6121</v>
      </c>
      <c r="E16">
        <v>322.6121</v>
      </c>
      <c r="H16">
        <v>5</v>
      </c>
      <c r="I16">
        <f t="shared" si="0"/>
        <v>0.74</v>
      </c>
      <c r="J16">
        <f t="shared" si="1"/>
        <v>0.6433452029738806</v>
      </c>
      <c r="L16">
        <v>853.3084</v>
      </c>
      <c r="M16">
        <f t="shared" si="2"/>
        <v>2.9311060208649042</v>
      </c>
      <c r="N16">
        <v>603.3592</v>
      </c>
      <c r="O16">
        <f t="shared" si="3"/>
        <v>2.780575939226528</v>
      </c>
    </row>
    <row r="17" spans="1:15" ht="12.75">
      <c r="A17">
        <v>24</v>
      </c>
      <c r="B17" t="s">
        <v>1080</v>
      </c>
      <c r="C17">
        <v>1295.6008</v>
      </c>
      <c r="E17">
        <v>1201.7449</v>
      </c>
      <c r="H17">
        <v>6</v>
      </c>
      <c r="I17">
        <f t="shared" si="0"/>
        <v>0.9</v>
      </c>
      <c r="J17">
        <f t="shared" si="1"/>
        <v>1.2815519393373522</v>
      </c>
      <c r="L17">
        <v>1295.6008</v>
      </c>
      <c r="M17">
        <f t="shared" si="2"/>
        <v>3.1124712075038374</v>
      </c>
      <c r="N17">
        <v>1201.7449</v>
      </c>
      <c r="O17">
        <f t="shared" si="3"/>
        <v>3.0798122877330267</v>
      </c>
    </row>
    <row r="18" spans="2:5" ht="12.75">
      <c r="B18" t="s">
        <v>1076</v>
      </c>
      <c r="C18">
        <v>421.2811</v>
      </c>
      <c r="E18">
        <v>435.0416</v>
      </c>
    </row>
    <row r="19" spans="2:5" ht="12.75">
      <c r="B19" t="s">
        <v>1077</v>
      </c>
      <c r="C19">
        <v>320.7948</v>
      </c>
      <c r="E19">
        <v>127.0177</v>
      </c>
    </row>
    <row r="21" spans="2:15" ht="12.75">
      <c r="B21" t="s">
        <v>134</v>
      </c>
      <c r="C21">
        <f>AVERAGE(C12:C17)</f>
        <v>739.5126833333333</v>
      </c>
      <c r="E21">
        <f>AVERAGE(E12:E17)</f>
        <v>590.7406666666666</v>
      </c>
      <c r="M21">
        <f>AVERAGE(M12:M17)</f>
        <v>2.823621980238126</v>
      </c>
      <c r="O21">
        <f>AVERAGE(O12:O17)</f>
        <v>2.7235380523160724</v>
      </c>
    </row>
    <row r="22" spans="2:15" ht="12.75">
      <c r="B22" t="s">
        <v>135</v>
      </c>
      <c r="C22">
        <f>STDEV(C12:C17)</f>
        <v>350.6719739681317</v>
      </c>
      <c r="E22">
        <f>STDEV(E12:E17)</f>
        <v>326.50767557285195</v>
      </c>
      <c r="M22" s="1">
        <f>STDEV(M12:M17)</f>
        <v>0.22490555754446648</v>
      </c>
      <c r="N22" s="1"/>
      <c r="O22" s="1">
        <f>STDEV(O12:O17)</f>
        <v>0.21722772823200567</v>
      </c>
    </row>
    <row r="23" spans="2:15" ht="12.75">
      <c r="B23" t="s">
        <v>136</v>
      </c>
      <c r="C23">
        <f>COUNT(C12:C17)</f>
        <v>6</v>
      </c>
      <c r="E23">
        <f>COUNT(E12:E17)</f>
        <v>6</v>
      </c>
      <c r="M23">
        <f>COUNT(M12:M17)</f>
        <v>6</v>
      </c>
      <c r="O23">
        <f>COUNT(O12:O17)</f>
        <v>6</v>
      </c>
    </row>
    <row r="24" spans="2:5" ht="12.75">
      <c r="B24" t="s">
        <v>137</v>
      </c>
      <c r="C24">
        <f>C22/(C23^0.5)</f>
        <v>143.16123388607804</v>
      </c>
      <c r="E24">
        <f>E22/(E23^0.5)</f>
        <v>133.29620037594643</v>
      </c>
    </row>
    <row r="25" spans="2:13" ht="12.75">
      <c r="B25" t="s">
        <v>138</v>
      </c>
      <c r="C25" s="1">
        <f>C22/C21</f>
        <v>0.4741933192916818</v>
      </c>
      <c r="E25" s="1">
        <f>E22/E21</f>
        <v>0.5527089872028199</v>
      </c>
      <c r="M25" s="1"/>
    </row>
  </sheetData>
  <printOptions/>
  <pageMargins left="0.75" right="0.75" top="1" bottom="1" header="0.5" footer="0.5"/>
  <pageSetup orientation="portrait" paperSize="9"/>
  <drawing r:id="rId1"/>
</worksheet>
</file>

<file path=xl/worksheets/sheet33.xml><?xml version="1.0" encoding="utf-8"?>
<worksheet xmlns="http://schemas.openxmlformats.org/spreadsheetml/2006/main" xmlns:r="http://schemas.openxmlformats.org/officeDocument/2006/relationships">
  <dimension ref="A1:Q32"/>
  <sheetViews>
    <sheetView workbookViewId="0" topLeftCell="A1">
      <selection activeCell="N20" sqref="N20"/>
    </sheetView>
  </sheetViews>
  <sheetFormatPr defaultColWidth="9.140625" defaultRowHeight="12.75"/>
  <cols>
    <col min="1" max="1" width="26.421875" style="0" customWidth="1"/>
    <col min="2" max="2" width="15.7109375" style="0" customWidth="1"/>
    <col min="3" max="4" width="8.8515625" style="0" customWidth="1"/>
    <col min="5" max="5" width="17.28125" style="0" customWidth="1"/>
    <col min="6" max="6" width="15.421875" style="0" customWidth="1"/>
    <col min="7" max="7" width="8.8515625" style="0" customWidth="1"/>
    <col min="8" max="8" width="14.00390625" style="0" customWidth="1"/>
    <col min="9" max="11" width="8.8515625" style="0" customWidth="1"/>
    <col min="12" max="12" width="13.7109375" style="0" customWidth="1"/>
    <col min="13" max="13" width="15.421875" style="0" customWidth="1"/>
    <col min="14" max="14" width="17.8515625" style="0" customWidth="1"/>
    <col min="15" max="16384" width="8.8515625" style="0" customWidth="1"/>
  </cols>
  <sheetData>
    <row r="1" spans="1:17" ht="63.75">
      <c r="A1" s="7" t="s">
        <v>69</v>
      </c>
      <c r="B1" s="7" t="s">
        <v>57</v>
      </c>
      <c r="C1" s="7" t="s">
        <v>58</v>
      </c>
      <c r="D1" s="7" t="s">
        <v>59</v>
      </c>
      <c r="E1" s="7" t="s">
        <v>60</v>
      </c>
      <c r="F1" s="7" t="s">
        <v>92</v>
      </c>
      <c r="G1" s="7" t="s">
        <v>61</v>
      </c>
      <c r="H1" s="7" t="s">
        <v>62</v>
      </c>
      <c r="I1" s="7" t="s">
        <v>63</v>
      </c>
      <c r="J1" s="8" t="s">
        <v>64</v>
      </c>
      <c r="K1" s="8" t="s">
        <v>138</v>
      </c>
      <c r="L1" s="7" t="s">
        <v>1126</v>
      </c>
      <c r="M1" s="7" t="s">
        <v>1127</v>
      </c>
      <c r="N1" s="7" t="s">
        <v>66</v>
      </c>
      <c r="O1" s="7" t="s">
        <v>85</v>
      </c>
      <c r="P1" s="7" t="s">
        <v>67</v>
      </c>
      <c r="Q1" s="7" t="s">
        <v>68</v>
      </c>
    </row>
    <row r="2" spans="2:17" ht="12.75">
      <c r="B2" t="s">
        <v>1072</v>
      </c>
      <c r="D2" t="s">
        <v>820</v>
      </c>
      <c r="E2" t="s">
        <v>819</v>
      </c>
      <c r="G2" t="s">
        <v>102</v>
      </c>
      <c r="H2" t="s">
        <v>94</v>
      </c>
      <c r="I2" t="s">
        <v>44</v>
      </c>
      <c r="J2">
        <v>0.23082075758706694</v>
      </c>
      <c r="K2">
        <v>0.689534700372755</v>
      </c>
      <c r="L2" t="s">
        <v>815</v>
      </c>
      <c r="N2" t="s">
        <v>95</v>
      </c>
      <c r="O2">
        <v>0.8658</v>
      </c>
      <c r="P2">
        <v>10</v>
      </c>
      <c r="Q2" t="s">
        <v>818</v>
      </c>
    </row>
    <row r="3" ht="12.75">
      <c r="Q3" t="s">
        <v>822</v>
      </c>
    </row>
    <row r="10" ht="12.75">
      <c r="C10" t="s">
        <v>821</v>
      </c>
    </row>
    <row r="14" spans="5:14" ht="12.75">
      <c r="E14" t="s">
        <v>44</v>
      </c>
      <c r="G14" t="s">
        <v>816</v>
      </c>
      <c r="I14" t="s">
        <v>99</v>
      </c>
      <c r="J14" t="s">
        <v>190</v>
      </c>
      <c r="L14" t="s">
        <v>44</v>
      </c>
      <c r="N14" t="s">
        <v>816</v>
      </c>
    </row>
    <row r="15" spans="4:7" ht="12.75">
      <c r="D15" t="s">
        <v>45</v>
      </c>
      <c r="E15">
        <v>1.1098</v>
      </c>
      <c r="G15">
        <f>LOG(E15)</f>
        <v>0.045244720478147</v>
      </c>
    </row>
    <row r="16" spans="4:7" ht="12.75">
      <c r="D16" t="s">
        <v>46</v>
      </c>
      <c r="E16">
        <v>3.501</v>
      </c>
      <c r="G16">
        <f aca="true" t="shared" si="0" ref="G16:G26">LOG(E16)</f>
        <v>0.5441921107650326</v>
      </c>
    </row>
    <row r="17" spans="3:14" ht="12.75">
      <c r="C17">
        <v>1</v>
      </c>
      <c r="D17" t="s">
        <v>47</v>
      </c>
      <c r="E17">
        <v>0.6021</v>
      </c>
      <c r="G17">
        <f t="shared" si="0"/>
        <v>-0.22033137279285203</v>
      </c>
      <c r="I17">
        <f>(C17-3/8)/10.25</f>
        <v>0.06097560975609756</v>
      </c>
      <c r="J17">
        <f>NORMSINV(I17)</f>
        <v>-1.5466353865887528</v>
      </c>
      <c r="L17">
        <v>0.553</v>
      </c>
      <c r="N17">
        <v>-0.2572748686953017</v>
      </c>
    </row>
    <row r="18" spans="3:14" ht="12.75">
      <c r="C18">
        <v>2</v>
      </c>
      <c r="D18" t="s">
        <v>48</v>
      </c>
      <c r="E18">
        <v>0.9127</v>
      </c>
      <c r="G18">
        <f t="shared" si="0"/>
        <v>-0.03967194946985688</v>
      </c>
      <c r="I18">
        <f aca="true" t="shared" si="1" ref="I18:I26">(C18-3/8)/10.25</f>
        <v>0.15853658536585366</v>
      </c>
      <c r="J18">
        <f aca="true" t="shared" si="2" ref="J18:J26">NORMSINV(I18)</f>
        <v>-1.0004905705059994</v>
      </c>
      <c r="L18">
        <v>0.5841</v>
      </c>
      <c r="N18">
        <v>-0.23351279376030593</v>
      </c>
    </row>
    <row r="19" spans="3:14" ht="12.75">
      <c r="C19">
        <v>3</v>
      </c>
      <c r="D19" t="s">
        <v>49</v>
      </c>
      <c r="E19">
        <v>1.2233</v>
      </c>
      <c r="G19">
        <f t="shared" si="0"/>
        <v>0.0875329757340937</v>
      </c>
      <c r="I19">
        <f t="shared" si="1"/>
        <v>0.25609756097560976</v>
      </c>
      <c r="J19">
        <f t="shared" si="2"/>
        <v>-0.6554232932405997</v>
      </c>
      <c r="L19">
        <v>0.6021</v>
      </c>
      <c r="N19">
        <v>-0.22033137279285203</v>
      </c>
    </row>
    <row r="20" spans="3:14" ht="12.75">
      <c r="C20">
        <v>4</v>
      </c>
      <c r="D20" t="s">
        <v>50</v>
      </c>
      <c r="E20">
        <v>1.2239</v>
      </c>
      <c r="G20">
        <f t="shared" si="0"/>
        <v>0.08774593478473379</v>
      </c>
      <c r="I20">
        <f t="shared" si="1"/>
        <v>0.35365853658536583</v>
      </c>
      <c r="J20">
        <f t="shared" si="2"/>
        <v>-0.3754619162230459</v>
      </c>
      <c r="L20">
        <v>0.8511</v>
      </c>
      <c r="N20">
        <v>-0.07001940948448529</v>
      </c>
    </row>
    <row r="21" spans="3:14" ht="12.75">
      <c r="C21">
        <v>5</v>
      </c>
      <c r="D21" t="s">
        <v>51</v>
      </c>
      <c r="E21">
        <v>1.2689</v>
      </c>
      <c r="G21">
        <f t="shared" si="0"/>
        <v>0.10342739738276747</v>
      </c>
      <c r="I21">
        <f t="shared" si="1"/>
        <v>0.45121951219512196</v>
      </c>
      <c r="J21">
        <f t="shared" si="2"/>
        <v>-0.12258073716776852</v>
      </c>
      <c r="L21">
        <v>0.9127</v>
      </c>
      <c r="N21">
        <v>-0.03967194946985688</v>
      </c>
    </row>
    <row r="22" spans="2:14" ht="12.75">
      <c r="B22" t="s">
        <v>817</v>
      </c>
      <c r="C22">
        <v>6</v>
      </c>
      <c r="D22" t="s">
        <v>52</v>
      </c>
      <c r="E22">
        <v>3.3281</v>
      </c>
      <c r="G22">
        <f t="shared" si="0"/>
        <v>0.5221963671366303</v>
      </c>
      <c r="I22">
        <f t="shared" si="1"/>
        <v>0.5487804878048781</v>
      </c>
      <c r="J22">
        <f t="shared" si="2"/>
        <v>0.12258073716776852</v>
      </c>
      <c r="L22">
        <v>1.1824</v>
      </c>
      <c r="N22">
        <v>0.07276442105075048</v>
      </c>
    </row>
    <row r="23" spans="3:14" ht="12.75">
      <c r="C23">
        <v>7</v>
      </c>
      <c r="D23" t="s">
        <v>56</v>
      </c>
      <c r="E23">
        <v>0.5841</v>
      </c>
      <c r="G23">
        <f t="shared" si="0"/>
        <v>-0.23351279376030593</v>
      </c>
      <c r="I23">
        <f t="shared" si="1"/>
        <v>0.6463414634146342</v>
      </c>
      <c r="J23">
        <f t="shared" si="2"/>
        <v>0.3754619162230459</v>
      </c>
      <c r="L23">
        <v>1.2233</v>
      </c>
      <c r="N23">
        <v>0.0875329757340937</v>
      </c>
    </row>
    <row r="24" spans="3:14" ht="12.75">
      <c r="C24">
        <v>8</v>
      </c>
      <c r="D24" t="s">
        <v>53</v>
      </c>
      <c r="E24">
        <v>1.1824</v>
      </c>
      <c r="G24">
        <f t="shared" si="0"/>
        <v>0.07276442105075048</v>
      </c>
      <c r="I24">
        <f t="shared" si="1"/>
        <v>0.7439024390243902</v>
      </c>
      <c r="J24">
        <f t="shared" si="2"/>
        <v>0.6554232932405992</v>
      </c>
      <c r="L24">
        <v>1.2239</v>
      </c>
      <c r="N24">
        <v>0.08774593478473379</v>
      </c>
    </row>
    <row r="25" spans="3:14" ht="12.75">
      <c r="C25">
        <v>9</v>
      </c>
      <c r="D25" t="s">
        <v>54</v>
      </c>
      <c r="E25">
        <v>0.8511</v>
      </c>
      <c r="G25">
        <f t="shared" si="0"/>
        <v>-0.07001940948448529</v>
      </c>
      <c r="I25">
        <f t="shared" si="1"/>
        <v>0.8414634146341463</v>
      </c>
      <c r="J25">
        <f t="shared" si="2"/>
        <v>1.000490570505999</v>
      </c>
      <c r="L25">
        <v>1.2689</v>
      </c>
      <c r="N25">
        <v>0.10342739738276747</v>
      </c>
    </row>
    <row r="26" spans="3:14" ht="12.75">
      <c r="C26">
        <v>10</v>
      </c>
      <c r="D26" t="s">
        <v>55</v>
      </c>
      <c r="E26">
        <v>0.553</v>
      </c>
      <c r="G26">
        <f t="shared" si="0"/>
        <v>-0.2572748686953017</v>
      </c>
      <c r="I26">
        <f t="shared" si="1"/>
        <v>0.9390243902439024</v>
      </c>
      <c r="J26">
        <f t="shared" si="2"/>
        <v>1.5466353865887519</v>
      </c>
      <c r="L26">
        <v>3.3281</v>
      </c>
      <c r="N26">
        <v>0.5221963671366303</v>
      </c>
    </row>
    <row r="28" spans="4:7" ht="12.75">
      <c r="D28" t="s">
        <v>134</v>
      </c>
      <c r="E28">
        <f>AVERAGE(E17:E26)</f>
        <v>1.1729600000000002</v>
      </c>
      <c r="G28">
        <f>AVERAGE(G17:G26)</f>
        <v>0.005285670188617397</v>
      </c>
    </row>
    <row r="29" spans="4:7" ht="12.75">
      <c r="D29" t="s">
        <v>135</v>
      </c>
      <c r="E29">
        <f>STDEV(E17:E26)</f>
        <v>0.8087966221492269</v>
      </c>
      <c r="G29" s="1">
        <f>STDEV(G17:G26)</f>
        <v>0.23082075758706694</v>
      </c>
    </row>
    <row r="30" spans="4:7" ht="12.75">
      <c r="D30" t="s">
        <v>136</v>
      </c>
      <c r="E30">
        <f>COUNT(E17:E26)</f>
        <v>10</v>
      </c>
      <c r="G30">
        <f>COUNT(G17:G26)</f>
        <v>10</v>
      </c>
    </row>
    <row r="31" spans="4:5" ht="12.75">
      <c r="D31" t="s">
        <v>137</v>
      </c>
      <c r="E31">
        <f>E29/(E30^0.5)</f>
        <v>0.25576394898421456</v>
      </c>
    </row>
    <row r="32" spans="4:5" ht="12.75">
      <c r="D32" t="s">
        <v>138</v>
      </c>
      <c r="E32" s="1">
        <f>E29/E28</f>
        <v>0.689534700372755</v>
      </c>
    </row>
  </sheetData>
  <printOptions/>
  <pageMargins left="0.75" right="0.75" top="1" bottom="1" header="0.5" footer="0.5"/>
  <pageSetup orientation="portrait" paperSize="9"/>
  <drawing r:id="rId1"/>
</worksheet>
</file>

<file path=xl/worksheets/sheet34.xml><?xml version="1.0" encoding="utf-8"?>
<worksheet xmlns="http://schemas.openxmlformats.org/spreadsheetml/2006/main" xmlns:r="http://schemas.openxmlformats.org/officeDocument/2006/relationships">
  <dimension ref="A1:AH36"/>
  <sheetViews>
    <sheetView zoomScale="115" zoomScaleNormal="115" workbookViewId="0" topLeftCell="A1">
      <selection activeCell="W2" sqref="W2:W6"/>
    </sheetView>
  </sheetViews>
  <sheetFormatPr defaultColWidth="9.140625" defaultRowHeight="12.75"/>
  <cols>
    <col min="1" max="7" width="8.8515625" style="0" customWidth="1"/>
    <col min="8" max="8" width="12.140625" style="0" customWidth="1"/>
    <col min="9" max="9" width="13.8515625" style="0" customWidth="1"/>
    <col min="10" max="16384" width="8.8515625" style="0" customWidth="1"/>
  </cols>
  <sheetData>
    <row r="1" spans="1:34" s="72" customFormat="1" ht="47.25" customHeight="1">
      <c r="A1" s="10" t="s">
        <v>413</v>
      </c>
      <c r="B1" s="10" t="s">
        <v>57</v>
      </c>
      <c r="C1" s="10" t="s">
        <v>58</v>
      </c>
      <c r="D1" s="10" t="s">
        <v>414</v>
      </c>
      <c r="E1" s="10" t="s">
        <v>415</v>
      </c>
      <c r="F1" s="14" t="s">
        <v>416</v>
      </c>
      <c r="G1" s="18" t="s">
        <v>417</v>
      </c>
      <c r="H1" s="10" t="s">
        <v>60</v>
      </c>
      <c r="I1" s="10" t="s">
        <v>418</v>
      </c>
      <c r="J1" s="10" t="s">
        <v>92</v>
      </c>
      <c r="K1" s="10" t="s">
        <v>61</v>
      </c>
      <c r="L1" s="10" t="s">
        <v>461</v>
      </c>
      <c r="M1" s="10" t="s">
        <v>62</v>
      </c>
      <c r="N1" s="70" t="s">
        <v>419</v>
      </c>
      <c r="O1" s="10" t="s">
        <v>63</v>
      </c>
      <c r="P1" s="71" t="s">
        <v>420</v>
      </c>
      <c r="Q1" s="71" t="s">
        <v>138</v>
      </c>
      <c r="R1" s="71" t="s">
        <v>421</v>
      </c>
      <c r="S1" s="71" t="s">
        <v>422</v>
      </c>
      <c r="T1" s="10" t="s">
        <v>1126</v>
      </c>
      <c r="U1" s="10" t="s">
        <v>1127</v>
      </c>
      <c r="V1" s="10" t="s">
        <v>66</v>
      </c>
      <c r="W1" s="10" t="s">
        <v>85</v>
      </c>
      <c r="X1" s="10" t="s">
        <v>539</v>
      </c>
      <c r="Y1" s="10" t="s">
        <v>423</v>
      </c>
      <c r="AA1" s="10" t="s">
        <v>424</v>
      </c>
      <c r="AC1" s="10" t="s">
        <v>425</v>
      </c>
      <c r="AD1" s="72" t="s">
        <v>426</v>
      </c>
      <c r="AE1" s="10" t="s">
        <v>427</v>
      </c>
      <c r="AF1" s="72" t="s">
        <v>428</v>
      </c>
      <c r="AG1" s="10" t="s">
        <v>136</v>
      </c>
      <c r="AH1" s="72" t="s">
        <v>429</v>
      </c>
    </row>
    <row r="2" spans="2:24" ht="12.75">
      <c r="B2" t="s">
        <v>438</v>
      </c>
      <c r="D2">
        <v>1995</v>
      </c>
      <c r="E2">
        <v>2</v>
      </c>
      <c r="F2" t="s">
        <v>439</v>
      </c>
      <c r="G2" t="s">
        <v>472</v>
      </c>
      <c r="H2" t="s">
        <v>440</v>
      </c>
      <c r="I2">
        <v>0</v>
      </c>
      <c r="J2" t="s">
        <v>441</v>
      </c>
      <c r="K2" t="s">
        <v>102</v>
      </c>
      <c r="N2" t="s">
        <v>564</v>
      </c>
      <c r="O2" t="s">
        <v>442</v>
      </c>
      <c r="P2">
        <v>0.2609341491123736</v>
      </c>
      <c r="Q2">
        <v>0.5224149005301874</v>
      </c>
      <c r="T2" t="s">
        <v>87</v>
      </c>
      <c r="U2" t="s">
        <v>797</v>
      </c>
      <c r="W2">
        <v>0.945</v>
      </c>
      <c r="X2">
        <v>10</v>
      </c>
    </row>
    <row r="3" spans="2:24" ht="12.75">
      <c r="B3" t="s">
        <v>438</v>
      </c>
      <c r="D3">
        <v>1995</v>
      </c>
      <c r="E3">
        <v>2</v>
      </c>
      <c r="F3" t="s">
        <v>858</v>
      </c>
      <c r="G3" t="s">
        <v>472</v>
      </c>
      <c r="H3" t="s">
        <v>440</v>
      </c>
      <c r="I3">
        <v>0</v>
      </c>
      <c r="J3" t="s">
        <v>441</v>
      </c>
      <c r="K3" t="s">
        <v>102</v>
      </c>
      <c r="N3" t="s">
        <v>564</v>
      </c>
      <c r="O3" t="s">
        <v>443</v>
      </c>
      <c r="P3">
        <v>0.37447835335031665</v>
      </c>
      <c r="Q3">
        <v>0.829545359622706</v>
      </c>
      <c r="W3">
        <v>0.948</v>
      </c>
      <c r="X3">
        <v>10</v>
      </c>
    </row>
    <row r="4" spans="2:24" ht="12.75">
      <c r="B4" t="s">
        <v>438</v>
      </c>
      <c r="D4">
        <v>1995</v>
      </c>
      <c r="E4">
        <v>2</v>
      </c>
      <c r="F4" t="s">
        <v>477</v>
      </c>
      <c r="G4" t="s">
        <v>472</v>
      </c>
      <c r="H4" t="s">
        <v>440</v>
      </c>
      <c r="I4">
        <v>0</v>
      </c>
      <c r="J4" t="s">
        <v>441</v>
      </c>
      <c r="K4" t="s">
        <v>102</v>
      </c>
      <c r="N4" t="s">
        <v>564</v>
      </c>
      <c r="O4" t="s">
        <v>444</v>
      </c>
      <c r="P4">
        <v>0.21106123693193993</v>
      </c>
      <c r="Q4">
        <v>0.44722106486053503</v>
      </c>
      <c r="W4">
        <v>0.888</v>
      </c>
      <c r="X4">
        <v>10</v>
      </c>
    </row>
    <row r="5" spans="2:24" ht="12.75">
      <c r="B5" t="s">
        <v>438</v>
      </c>
      <c r="D5">
        <v>1995</v>
      </c>
      <c r="E5">
        <v>2</v>
      </c>
      <c r="F5" t="s">
        <v>820</v>
      </c>
      <c r="G5" t="s">
        <v>472</v>
      </c>
      <c r="H5" t="s">
        <v>440</v>
      </c>
      <c r="I5">
        <v>0</v>
      </c>
      <c r="J5" t="s">
        <v>441</v>
      </c>
      <c r="K5" t="s">
        <v>102</v>
      </c>
      <c r="N5" t="s">
        <v>564</v>
      </c>
      <c r="O5" t="s">
        <v>445</v>
      </c>
      <c r="P5">
        <v>0.13186604218615594</v>
      </c>
      <c r="Q5">
        <v>0.29202205279359444</v>
      </c>
      <c r="W5">
        <v>0.958</v>
      </c>
      <c r="X5">
        <v>10</v>
      </c>
    </row>
    <row r="6" spans="2:24" ht="12.75">
      <c r="B6" t="s">
        <v>438</v>
      </c>
      <c r="D6">
        <v>1995</v>
      </c>
      <c r="E6">
        <v>2</v>
      </c>
      <c r="F6" t="s">
        <v>1114</v>
      </c>
      <c r="G6" t="s">
        <v>472</v>
      </c>
      <c r="H6" t="s">
        <v>440</v>
      </c>
      <c r="I6">
        <v>0</v>
      </c>
      <c r="J6" t="s">
        <v>441</v>
      </c>
      <c r="K6" t="s">
        <v>102</v>
      </c>
      <c r="N6" t="s">
        <v>564</v>
      </c>
      <c r="O6" t="s">
        <v>446</v>
      </c>
      <c r="P6">
        <v>0.4513182675335069</v>
      </c>
      <c r="Q6">
        <v>1.184870399061018</v>
      </c>
      <c r="W6">
        <v>0.956</v>
      </c>
      <c r="X6">
        <v>10</v>
      </c>
    </row>
    <row r="8" spans="9:22" ht="12.75">
      <c r="I8" t="s">
        <v>447</v>
      </c>
      <c r="R8" t="s">
        <v>439</v>
      </c>
      <c r="S8" t="s">
        <v>858</v>
      </c>
      <c r="T8" t="s">
        <v>477</v>
      </c>
      <c r="U8" t="s">
        <v>820</v>
      </c>
      <c r="V8" t="s">
        <v>1114</v>
      </c>
    </row>
    <row r="9" spans="3:22" ht="12.75">
      <c r="C9" t="s">
        <v>439</v>
      </c>
      <c r="D9" t="s">
        <v>858</v>
      </c>
      <c r="E9" t="s">
        <v>477</v>
      </c>
      <c r="F9" t="s">
        <v>820</v>
      </c>
      <c r="G9" t="s">
        <v>1114</v>
      </c>
      <c r="I9" t="s">
        <v>439</v>
      </c>
      <c r="J9" t="s">
        <v>858</v>
      </c>
      <c r="K9" t="s">
        <v>477</v>
      </c>
      <c r="L9" t="s">
        <v>820</v>
      </c>
      <c r="M9" t="s">
        <v>1114</v>
      </c>
      <c r="O9">
        <v>1</v>
      </c>
      <c r="P9">
        <f>(O9-3/8)/10.25</f>
        <v>0.06097560975609756</v>
      </c>
      <c r="Q9">
        <f>NORMSINV(P9)</f>
        <v>-1.5466353865887528</v>
      </c>
      <c r="R9">
        <v>1.7160033436347992</v>
      </c>
      <c r="S9">
        <v>2.0755469613925306</v>
      </c>
      <c r="T9">
        <v>1.7558748556724915</v>
      </c>
      <c r="U9">
        <v>2.5658478186735176</v>
      </c>
      <c r="V9">
        <v>2.012837224705172</v>
      </c>
    </row>
    <row r="10" spans="3:22" ht="12.75">
      <c r="C10">
        <v>137</v>
      </c>
      <c r="D10">
        <v>639</v>
      </c>
      <c r="E10">
        <v>154</v>
      </c>
      <c r="F10">
        <v>550</v>
      </c>
      <c r="G10">
        <v>852</v>
      </c>
      <c r="I10">
        <f>LOG(C10)</f>
        <v>2.1367205671564067</v>
      </c>
      <c r="J10">
        <f>LOG(D10)</f>
        <v>2.8055008581584002</v>
      </c>
      <c r="K10">
        <f>LOG(E10)</f>
        <v>2.187520720836463</v>
      </c>
      <c r="L10">
        <f>LOG(F10)</f>
        <v>2.7403626894942437</v>
      </c>
      <c r="M10">
        <f>LOG(G10)</f>
        <v>2.9304395947667</v>
      </c>
      <c r="O10">
        <v>2</v>
      </c>
      <c r="P10">
        <f aca="true" t="shared" si="0" ref="P10:P18">(O10-3/8)/10.25</f>
        <v>0.15853658536585366</v>
      </c>
      <c r="Q10">
        <f aca="true" t="shared" si="1" ref="Q10:Q18">NORMSINV(P10)</f>
        <v>-1.0004905705059994</v>
      </c>
      <c r="R10">
        <v>2</v>
      </c>
      <c r="S10">
        <v>2.4983105537896004</v>
      </c>
      <c r="T10">
        <v>2.0644579892269186</v>
      </c>
      <c r="U10">
        <v>2.724275869600789</v>
      </c>
      <c r="V10">
        <v>2.3283796034387376</v>
      </c>
    </row>
    <row r="11" spans="3:22" ht="12.75">
      <c r="C11">
        <v>260</v>
      </c>
      <c r="D11">
        <v>1082</v>
      </c>
      <c r="E11">
        <v>179</v>
      </c>
      <c r="F11">
        <v>530</v>
      </c>
      <c r="G11">
        <v>577</v>
      </c>
      <c r="I11">
        <f aca="true" t="shared" si="2" ref="I11:I19">LOG(C11)</f>
        <v>2.4149733479708178</v>
      </c>
      <c r="J11">
        <f aca="true" t="shared" si="3" ref="J11:J19">LOG(D11)</f>
        <v>3.0342272607705505</v>
      </c>
      <c r="K11">
        <f aca="true" t="shared" si="4" ref="K11:K19">LOG(E11)</f>
        <v>2.2528530309798933</v>
      </c>
      <c r="L11">
        <f aca="true" t="shared" si="5" ref="L11:L19">LOG(F11)</f>
        <v>2.724275869600789</v>
      </c>
      <c r="M11">
        <f aca="true" t="shared" si="6" ref="M11:M19">LOG(G11)</f>
        <v>2.7611758131557314</v>
      </c>
      <c r="O11">
        <v>3</v>
      </c>
      <c r="P11">
        <f t="shared" si="0"/>
        <v>0.25609756097560976</v>
      </c>
      <c r="Q11">
        <f t="shared" si="1"/>
        <v>-0.6554232932405997</v>
      </c>
      <c r="R11">
        <v>2.1367205671564067</v>
      </c>
      <c r="S11">
        <v>2.6344772701607315</v>
      </c>
      <c r="T11">
        <v>2.1072099696478683</v>
      </c>
      <c r="U11">
        <v>2.7403626894942437</v>
      </c>
      <c r="V11">
        <v>2.413299764081252</v>
      </c>
    </row>
    <row r="12" spans="3:22" ht="12.75">
      <c r="C12">
        <v>209</v>
      </c>
      <c r="D12">
        <v>552</v>
      </c>
      <c r="E12">
        <v>175</v>
      </c>
      <c r="F12">
        <v>781</v>
      </c>
      <c r="G12">
        <v>259</v>
      </c>
      <c r="I12">
        <f t="shared" si="2"/>
        <v>2.3201462861110542</v>
      </c>
      <c r="J12">
        <f t="shared" si="3"/>
        <v>2.741939077729199</v>
      </c>
      <c r="K12">
        <f t="shared" si="4"/>
        <v>2.2430380486862944</v>
      </c>
      <c r="L12">
        <f t="shared" si="5"/>
        <v>2.8926510338773004</v>
      </c>
      <c r="M12">
        <f t="shared" si="6"/>
        <v>2.413299764081252</v>
      </c>
      <c r="O12">
        <v>4</v>
      </c>
      <c r="P12">
        <f t="shared" si="0"/>
        <v>0.35365853658536583</v>
      </c>
      <c r="Q12">
        <f t="shared" si="1"/>
        <v>-0.3754619162230459</v>
      </c>
      <c r="R12">
        <v>2.2095150145426308</v>
      </c>
      <c r="S12">
        <v>2.741939077729199</v>
      </c>
      <c r="T12">
        <v>2.187520720836463</v>
      </c>
      <c r="U12">
        <v>2.7664128471123997</v>
      </c>
      <c r="V12">
        <v>2.4771212547196626</v>
      </c>
    </row>
    <row r="13" spans="3:22" ht="12.75">
      <c r="C13">
        <v>403</v>
      </c>
      <c r="D13">
        <v>1906</v>
      </c>
      <c r="E13">
        <v>310</v>
      </c>
      <c r="F13">
        <v>971</v>
      </c>
      <c r="G13">
        <v>3115</v>
      </c>
      <c r="I13">
        <f t="shared" si="2"/>
        <v>2.6053050461411096</v>
      </c>
      <c r="J13">
        <f t="shared" si="3"/>
        <v>3.2801228963023075</v>
      </c>
      <c r="K13">
        <f t="shared" si="4"/>
        <v>2.4913616938342726</v>
      </c>
      <c r="L13">
        <f t="shared" si="5"/>
        <v>2.9872192299080047</v>
      </c>
      <c r="M13">
        <f t="shared" si="6"/>
        <v>3.4934580509951885</v>
      </c>
      <c r="O13">
        <v>5</v>
      </c>
      <c r="P13">
        <f t="shared" si="0"/>
        <v>0.45121951219512196</v>
      </c>
      <c r="Q13">
        <f t="shared" si="1"/>
        <v>-0.12258073716776852</v>
      </c>
      <c r="R13">
        <v>2.2355284469075487</v>
      </c>
      <c r="S13">
        <v>2.7867514221455614</v>
      </c>
      <c r="T13">
        <v>2.225309281725863</v>
      </c>
      <c r="U13">
        <v>2.7788744720027396</v>
      </c>
      <c r="V13">
        <v>2.53655844257153</v>
      </c>
    </row>
    <row r="14" spans="3:22" ht="12.75">
      <c r="C14">
        <v>220</v>
      </c>
      <c r="D14">
        <v>2366</v>
      </c>
      <c r="E14">
        <v>310</v>
      </c>
      <c r="F14">
        <v>601</v>
      </c>
      <c r="G14">
        <v>2062</v>
      </c>
      <c r="I14">
        <f t="shared" si="2"/>
        <v>2.342422680822206</v>
      </c>
      <c r="J14">
        <f t="shared" si="3"/>
        <v>3.3740147402919116</v>
      </c>
      <c r="K14">
        <f t="shared" si="4"/>
        <v>2.4913616938342726</v>
      </c>
      <c r="L14">
        <f t="shared" si="5"/>
        <v>2.7788744720027396</v>
      </c>
      <c r="M14">
        <f t="shared" si="6"/>
        <v>3.3142886609474975</v>
      </c>
      <c r="O14">
        <v>6</v>
      </c>
      <c r="P14">
        <f t="shared" si="0"/>
        <v>0.5487804878048781</v>
      </c>
      <c r="Q14">
        <f t="shared" si="1"/>
        <v>0.12258073716776852</v>
      </c>
      <c r="R14">
        <v>2.3201462861110542</v>
      </c>
      <c r="S14">
        <v>2.8055008581584002</v>
      </c>
      <c r="T14">
        <v>2.2430380486862944</v>
      </c>
      <c r="U14">
        <v>2.850033257689769</v>
      </c>
      <c r="V14">
        <v>2.6693168805661123</v>
      </c>
    </row>
    <row r="15" spans="3:22" ht="12.75">
      <c r="C15">
        <v>346</v>
      </c>
      <c r="D15">
        <v>672</v>
      </c>
      <c r="E15">
        <v>175</v>
      </c>
      <c r="F15">
        <v>708</v>
      </c>
      <c r="G15">
        <v>344</v>
      </c>
      <c r="I15">
        <f t="shared" si="2"/>
        <v>2.5390760987927767</v>
      </c>
      <c r="J15">
        <f t="shared" si="3"/>
        <v>2.8273692730538253</v>
      </c>
      <c r="K15">
        <f t="shared" si="4"/>
        <v>2.2430380486862944</v>
      </c>
      <c r="L15">
        <f t="shared" si="5"/>
        <v>2.850033257689769</v>
      </c>
      <c r="M15">
        <f t="shared" si="6"/>
        <v>2.53655844257153</v>
      </c>
      <c r="O15">
        <v>7</v>
      </c>
      <c r="P15">
        <f t="shared" si="0"/>
        <v>0.6463414634146342</v>
      </c>
      <c r="Q15">
        <f t="shared" si="1"/>
        <v>0.3754619162230459</v>
      </c>
      <c r="R15">
        <v>2.342422680822206</v>
      </c>
      <c r="S15">
        <v>2.8273692730538253</v>
      </c>
      <c r="T15">
        <v>2.2430380486862944</v>
      </c>
      <c r="U15">
        <v>2.884795363948981</v>
      </c>
      <c r="V15">
        <v>2.7611758131557314</v>
      </c>
    </row>
    <row r="16" spans="3:22" ht="12.75">
      <c r="C16">
        <v>172</v>
      </c>
      <c r="D16">
        <v>315</v>
      </c>
      <c r="E16">
        <v>168</v>
      </c>
      <c r="F16">
        <v>1007</v>
      </c>
      <c r="G16">
        <v>467</v>
      </c>
      <c r="I16">
        <f t="shared" si="2"/>
        <v>2.2355284469075487</v>
      </c>
      <c r="J16">
        <f t="shared" si="3"/>
        <v>2.4983105537896004</v>
      </c>
      <c r="K16">
        <f t="shared" si="4"/>
        <v>2.225309281725863</v>
      </c>
      <c r="L16">
        <f t="shared" si="5"/>
        <v>3.003029470553618</v>
      </c>
      <c r="M16">
        <f t="shared" si="6"/>
        <v>2.6693168805661123</v>
      </c>
      <c r="O16">
        <v>8</v>
      </c>
      <c r="P16">
        <f t="shared" si="0"/>
        <v>0.7439024390243902</v>
      </c>
      <c r="Q16">
        <f t="shared" si="1"/>
        <v>0.6554232932405992</v>
      </c>
      <c r="R16">
        <v>2.4149733479708178</v>
      </c>
      <c r="S16">
        <v>3.0342272607705505</v>
      </c>
      <c r="T16">
        <v>2.2528530309798933</v>
      </c>
      <c r="U16">
        <v>2.8926510338773004</v>
      </c>
      <c r="V16">
        <v>2.9304395947667</v>
      </c>
    </row>
    <row r="17" spans="3:22" ht="12.75">
      <c r="C17">
        <v>100</v>
      </c>
      <c r="D17">
        <v>612</v>
      </c>
      <c r="E17">
        <v>128</v>
      </c>
      <c r="F17">
        <v>767</v>
      </c>
      <c r="G17">
        <v>300</v>
      </c>
      <c r="I17">
        <f t="shared" si="2"/>
        <v>2</v>
      </c>
      <c r="J17">
        <f t="shared" si="3"/>
        <v>2.7867514221455614</v>
      </c>
      <c r="K17">
        <f t="shared" si="4"/>
        <v>2.1072099696478683</v>
      </c>
      <c r="L17">
        <f t="shared" si="5"/>
        <v>2.884795363948981</v>
      </c>
      <c r="M17">
        <f t="shared" si="6"/>
        <v>2.4771212547196626</v>
      </c>
      <c r="O17">
        <v>9</v>
      </c>
      <c r="P17">
        <f t="shared" si="0"/>
        <v>0.8414634146341463</v>
      </c>
      <c r="Q17">
        <f t="shared" si="1"/>
        <v>1.000490570505999</v>
      </c>
      <c r="R17">
        <v>2.5390760987927767</v>
      </c>
      <c r="S17">
        <v>3.2801228963023075</v>
      </c>
      <c r="T17">
        <v>2.4913616938342726</v>
      </c>
      <c r="U17">
        <v>2.9872192299080047</v>
      </c>
      <c r="V17">
        <v>3.3142886609474975</v>
      </c>
    </row>
    <row r="18" spans="3:22" ht="12.75">
      <c r="C18">
        <v>52</v>
      </c>
      <c r="D18">
        <v>119</v>
      </c>
      <c r="E18">
        <v>57</v>
      </c>
      <c r="F18">
        <v>368</v>
      </c>
      <c r="G18">
        <v>103</v>
      </c>
      <c r="I18">
        <f t="shared" si="2"/>
        <v>1.7160033436347992</v>
      </c>
      <c r="J18">
        <f t="shared" si="3"/>
        <v>2.0755469613925306</v>
      </c>
      <c r="K18">
        <f t="shared" si="4"/>
        <v>1.7558748556724915</v>
      </c>
      <c r="L18">
        <f t="shared" si="5"/>
        <v>2.5658478186735176</v>
      </c>
      <c r="M18">
        <f t="shared" si="6"/>
        <v>2.012837224705172</v>
      </c>
      <c r="O18">
        <v>10</v>
      </c>
      <c r="P18">
        <f t="shared" si="0"/>
        <v>0.9390243902439024</v>
      </c>
      <c r="Q18">
        <f t="shared" si="1"/>
        <v>1.5466353865887519</v>
      </c>
      <c r="R18">
        <v>2.6053050461411096</v>
      </c>
      <c r="S18">
        <v>3.3740147402919116</v>
      </c>
      <c r="T18">
        <v>2.4913616938342726</v>
      </c>
      <c r="U18">
        <v>3.003029470553618</v>
      </c>
      <c r="V18">
        <v>3.4934580509951885</v>
      </c>
    </row>
    <row r="19" spans="3:13" ht="12.75">
      <c r="C19">
        <v>162</v>
      </c>
      <c r="D19">
        <v>431</v>
      </c>
      <c r="E19">
        <v>116</v>
      </c>
      <c r="F19">
        <v>584</v>
      </c>
      <c r="G19">
        <v>213</v>
      </c>
      <c r="I19">
        <f t="shared" si="2"/>
        <v>2.2095150145426308</v>
      </c>
      <c r="J19">
        <f t="shared" si="3"/>
        <v>2.6344772701607315</v>
      </c>
      <c r="K19">
        <f t="shared" si="4"/>
        <v>2.0644579892269186</v>
      </c>
      <c r="L19">
        <f t="shared" si="5"/>
        <v>2.7664128471123997</v>
      </c>
      <c r="M19">
        <f t="shared" si="6"/>
        <v>2.3283796034387376</v>
      </c>
    </row>
    <row r="20" spans="2:13" ht="12.75">
      <c r="B20" t="s">
        <v>835</v>
      </c>
      <c r="C20">
        <f>AVERAGE(C10:C19)</f>
        <v>206.1</v>
      </c>
      <c r="D20">
        <f>AVERAGE(D10:D19)</f>
        <v>869.4</v>
      </c>
      <c r="E20">
        <f>AVERAGE(E10:E19)</f>
        <v>177.2</v>
      </c>
      <c r="F20">
        <f>AVERAGE(F10:F19)</f>
        <v>686.7</v>
      </c>
      <c r="G20">
        <f>AVERAGE(G10:G19)</f>
        <v>829.2</v>
      </c>
      <c r="I20">
        <f>AVERAGE(I10:I19)</f>
        <v>2.251969083207935</v>
      </c>
      <c r="J20">
        <f>AVERAGE(J10:J19)</f>
        <v>2.805826031379462</v>
      </c>
      <c r="K20">
        <f>AVERAGE(K10:K19)</f>
        <v>2.2062025333130633</v>
      </c>
      <c r="L20">
        <f>AVERAGE(L10:L19)</f>
        <v>2.819350205286136</v>
      </c>
      <c r="M20">
        <f>AVERAGE(M10:M19)</f>
        <v>2.6936875289947584</v>
      </c>
    </row>
    <row r="21" spans="2:13" ht="12.75">
      <c r="B21" t="s">
        <v>411</v>
      </c>
      <c r="C21">
        <f>STDEV(C10:C19)</f>
        <v>107.66971099927162</v>
      </c>
      <c r="D21">
        <f>STDEV(D10:D19)</f>
        <v>721.2067356559807</v>
      </c>
      <c r="E21">
        <f>STDEV(E10:E19)</f>
        <v>79.2475726932868</v>
      </c>
      <c r="F21">
        <f>STDEV(F10:F19)</f>
        <v>200.53154365336133</v>
      </c>
      <c r="G21">
        <f>STDEV(G10:G19)</f>
        <v>982.4945349013963</v>
      </c>
      <c r="I21" s="1">
        <f>STDEV(I10:I19)</f>
        <v>0.2609341491123736</v>
      </c>
      <c r="J21" s="1">
        <f>STDEV(J10:J19)</f>
        <v>0.37447835335031665</v>
      </c>
      <c r="K21" s="1">
        <f>STDEV(K10:K19)</f>
        <v>0.21106123693193993</v>
      </c>
      <c r="L21" s="1">
        <f>STDEV(L10:L19)</f>
        <v>0.13186604218615594</v>
      </c>
      <c r="M21" s="1">
        <f>STDEV(M10:M19)</f>
        <v>0.4513182675335069</v>
      </c>
    </row>
    <row r="22" spans="2:7" ht="12.75">
      <c r="B22" t="s">
        <v>412</v>
      </c>
      <c r="C22" s="1">
        <f>C21/C20</f>
        <v>0.5224149005301874</v>
      </c>
      <c r="D22" s="1">
        <f>D21/D20</f>
        <v>0.829545359622706</v>
      </c>
      <c r="E22" s="1">
        <f>E21/E20</f>
        <v>0.44722106486053503</v>
      </c>
      <c r="F22" s="1">
        <f>F21/F20</f>
        <v>0.29202205279359444</v>
      </c>
      <c r="G22" s="1">
        <f>G21/G20</f>
        <v>1.184870399061018</v>
      </c>
    </row>
    <row r="23" spans="2:7" ht="12.75">
      <c r="B23" t="s">
        <v>539</v>
      </c>
      <c r="C23">
        <f>COUNT(C10:C19)</f>
        <v>10</v>
      </c>
      <c r="D23">
        <f>COUNT(D10:D19)</f>
        <v>10</v>
      </c>
      <c r="E23">
        <f>COUNT(E10:E19)</f>
        <v>10</v>
      </c>
      <c r="F23">
        <f>COUNT(F10:F19)</f>
        <v>10</v>
      </c>
      <c r="G23">
        <f>COUNT(G10:G19)</f>
        <v>10</v>
      </c>
    </row>
    <row r="26" ht="12.75">
      <c r="K26">
        <v>1</v>
      </c>
    </row>
    <row r="27" ht="12.75">
      <c r="K27">
        <v>2</v>
      </c>
    </row>
    <row r="28" ht="12.75">
      <c r="K28">
        <v>3</v>
      </c>
    </row>
    <row r="29" ht="12.75">
      <c r="K29">
        <v>4</v>
      </c>
    </row>
    <row r="30" ht="12.75">
      <c r="K30">
        <v>5</v>
      </c>
    </row>
    <row r="31" ht="12.75">
      <c r="K31">
        <v>6</v>
      </c>
    </row>
    <row r="32" ht="12.75">
      <c r="K32">
        <v>7</v>
      </c>
    </row>
    <row r="33" ht="12.75">
      <c r="K33">
        <v>8</v>
      </c>
    </row>
    <row r="34" ht="12.75">
      <c r="K34">
        <v>9</v>
      </c>
    </row>
    <row r="35" ht="12.75">
      <c r="K35">
        <v>10</v>
      </c>
    </row>
    <row r="36" ht="12.75">
      <c r="K36">
        <v>11</v>
      </c>
    </row>
  </sheetData>
  <printOptions/>
  <pageMargins left="0.75" right="0.75" top="1" bottom="1" header="0.5" footer="0.5"/>
  <pageSetup orientation="portrait" paperSize="9"/>
  <drawing r:id="rId1"/>
</worksheet>
</file>

<file path=xl/worksheets/sheet35.xml><?xml version="1.0" encoding="utf-8"?>
<worksheet xmlns="http://schemas.openxmlformats.org/spreadsheetml/2006/main" xmlns:r="http://schemas.openxmlformats.org/officeDocument/2006/relationships">
  <dimension ref="A1:AH18"/>
  <sheetViews>
    <sheetView workbookViewId="0" topLeftCell="A1">
      <selection activeCell="A15" sqref="A15:B18"/>
    </sheetView>
  </sheetViews>
  <sheetFormatPr defaultColWidth="9.140625" defaultRowHeight="12.75"/>
  <cols>
    <col min="1" max="13" width="8.8515625" style="0" customWidth="1"/>
    <col min="14" max="14" width="11.7109375" style="0" customWidth="1"/>
    <col min="15" max="16384" width="8.8515625" style="0" customWidth="1"/>
  </cols>
  <sheetData>
    <row r="1" spans="1:34" s="72" customFormat="1" ht="49.5" customHeight="1">
      <c r="A1" s="10" t="s">
        <v>413</v>
      </c>
      <c r="B1" s="10" t="s">
        <v>57</v>
      </c>
      <c r="C1" s="10" t="s">
        <v>58</v>
      </c>
      <c r="D1" s="10" t="s">
        <v>414</v>
      </c>
      <c r="E1" s="10" t="s">
        <v>415</v>
      </c>
      <c r="F1" s="14" t="s">
        <v>416</v>
      </c>
      <c r="G1" s="18" t="s">
        <v>417</v>
      </c>
      <c r="H1" s="10" t="s">
        <v>60</v>
      </c>
      <c r="I1" s="10" t="s">
        <v>418</v>
      </c>
      <c r="J1" s="10" t="s">
        <v>92</v>
      </c>
      <c r="K1" s="10" t="s">
        <v>61</v>
      </c>
      <c r="L1" s="10" t="s">
        <v>461</v>
      </c>
      <c r="M1" s="10" t="s">
        <v>62</v>
      </c>
      <c r="N1" s="70" t="s">
        <v>419</v>
      </c>
      <c r="O1" s="10" t="s">
        <v>63</v>
      </c>
      <c r="P1" s="71" t="s">
        <v>420</v>
      </c>
      <c r="Q1" s="71" t="s">
        <v>138</v>
      </c>
      <c r="R1" s="71" t="s">
        <v>421</v>
      </c>
      <c r="S1" s="71" t="s">
        <v>422</v>
      </c>
      <c r="T1" s="10" t="s">
        <v>1126</v>
      </c>
      <c r="U1" s="10" t="s">
        <v>1127</v>
      </c>
      <c r="V1" s="10" t="s">
        <v>66</v>
      </c>
      <c r="W1" s="10" t="s">
        <v>85</v>
      </c>
      <c r="X1" s="10" t="s">
        <v>539</v>
      </c>
      <c r="Y1" s="10" t="s">
        <v>423</v>
      </c>
      <c r="AA1" s="10" t="s">
        <v>424</v>
      </c>
      <c r="AC1" s="10" t="s">
        <v>425</v>
      </c>
      <c r="AD1" s="72" t="s">
        <v>426</v>
      </c>
      <c r="AE1" s="10" t="s">
        <v>427</v>
      </c>
      <c r="AF1" s="72" t="s">
        <v>428</v>
      </c>
      <c r="AG1" s="10" t="s">
        <v>136</v>
      </c>
      <c r="AH1" s="72" t="s">
        <v>429</v>
      </c>
    </row>
    <row r="2" spans="1:25" ht="12.75">
      <c r="A2" t="s">
        <v>435</v>
      </c>
      <c r="B2" t="s">
        <v>437</v>
      </c>
      <c r="D2">
        <v>1996</v>
      </c>
      <c r="E2">
        <v>3</v>
      </c>
      <c r="F2" t="s">
        <v>431</v>
      </c>
      <c r="G2" t="s">
        <v>432</v>
      </c>
      <c r="H2" t="s">
        <v>433</v>
      </c>
      <c r="I2">
        <v>1</v>
      </c>
      <c r="J2" t="s">
        <v>434</v>
      </c>
      <c r="K2" t="s">
        <v>102</v>
      </c>
      <c r="M2" t="s">
        <v>94</v>
      </c>
      <c r="N2" t="s">
        <v>971</v>
      </c>
      <c r="O2" t="s">
        <v>436</v>
      </c>
      <c r="P2">
        <v>0.33233213140594714</v>
      </c>
      <c r="Q2">
        <v>0.5458689128255342</v>
      </c>
      <c r="R2">
        <f aca="true" t="shared" si="0" ref="R2:S4">P2^2</f>
        <v>0.11044464556481971</v>
      </c>
      <c r="S2">
        <f t="shared" si="0"/>
        <v>0.29797286998933065</v>
      </c>
      <c r="T2" t="s">
        <v>87</v>
      </c>
      <c r="U2" t="s">
        <v>797</v>
      </c>
      <c r="X2">
        <v>5</v>
      </c>
      <c r="Y2">
        <v>4</v>
      </c>
    </row>
    <row r="3" spans="1:25" ht="12.75">
      <c r="A3" t="s">
        <v>435</v>
      </c>
      <c r="B3" t="s">
        <v>430</v>
      </c>
      <c r="D3">
        <v>1996</v>
      </c>
      <c r="E3">
        <v>3</v>
      </c>
      <c r="F3" t="s">
        <v>431</v>
      </c>
      <c r="G3" t="s">
        <v>432</v>
      </c>
      <c r="H3" t="s">
        <v>433</v>
      </c>
      <c r="I3">
        <v>1</v>
      </c>
      <c r="J3" t="s">
        <v>434</v>
      </c>
      <c r="K3" t="s">
        <v>102</v>
      </c>
      <c r="M3" t="s">
        <v>94</v>
      </c>
      <c r="N3" t="s">
        <v>970</v>
      </c>
      <c r="O3" t="s">
        <v>436</v>
      </c>
      <c r="P3">
        <v>0.3578979311385969</v>
      </c>
      <c r="Q3">
        <v>0.6883160174666534</v>
      </c>
      <c r="R3">
        <f t="shared" si="0"/>
        <v>0.12809092911328787</v>
      </c>
      <c r="S3">
        <f t="shared" si="0"/>
        <v>0.4737789399011543</v>
      </c>
      <c r="T3" t="s">
        <v>87</v>
      </c>
      <c r="U3" t="s">
        <v>797</v>
      </c>
      <c r="X3">
        <v>5</v>
      </c>
      <c r="Y3">
        <v>4</v>
      </c>
    </row>
    <row r="4" spans="1:25" ht="12.75">
      <c r="A4" t="s">
        <v>435</v>
      </c>
      <c r="B4" t="s">
        <v>430</v>
      </c>
      <c r="D4">
        <v>1996</v>
      </c>
      <c r="E4">
        <v>3</v>
      </c>
      <c r="F4" t="s">
        <v>431</v>
      </c>
      <c r="G4" t="s">
        <v>432</v>
      </c>
      <c r="H4" t="s">
        <v>433</v>
      </c>
      <c r="I4">
        <v>1</v>
      </c>
      <c r="J4" t="s">
        <v>434</v>
      </c>
      <c r="K4" t="s">
        <v>102</v>
      </c>
      <c r="M4" t="s">
        <v>94</v>
      </c>
      <c r="N4" t="s">
        <v>1129</v>
      </c>
      <c r="O4" t="s">
        <v>436</v>
      </c>
      <c r="P4">
        <v>0.0799375541130616</v>
      </c>
      <c r="Q4">
        <v>0.20038630152628006</v>
      </c>
      <c r="R4">
        <f t="shared" si="0"/>
        <v>0.006390012557578651</v>
      </c>
      <c r="S4">
        <f t="shared" si="0"/>
        <v>0.040154669839381235</v>
      </c>
      <c r="T4" t="s">
        <v>87</v>
      </c>
      <c r="U4" t="s">
        <v>797</v>
      </c>
      <c r="X4">
        <v>5</v>
      </c>
      <c r="Y4">
        <v>4</v>
      </c>
    </row>
    <row r="7" spans="1:5" ht="12.75">
      <c r="A7" t="s">
        <v>804</v>
      </c>
      <c r="B7">
        <v>24</v>
      </c>
      <c r="C7">
        <v>1</v>
      </c>
      <c r="D7" t="s">
        <v>402</v>
      </c>
      <c r="E7">
        <v>1996</v>
      </c>
    </row>
    <row r="8" spans="1:4" ht="12.75">
      <c r="A8" t="s">
        <v>1105</v>
      </c>
      <c r="B8" t="s">
        <v>403</v>
      </c>
      <c r="C8" t="s">
        <v>404</v>
      </c>
      <c r="D8" t="s">
        <v>405</v>
      </c>
    </row>
    <row r="9" spans="1:8" ht="12.75">
      <c r="A9" t="s">
        <v>406</v>
      </c>
      <c r="B9">
        <v>0.04</v>
      </c>
      <c r="C9">
        <v>1</v>
      </c>
      <c r="D9">
        <v>25</v>
      </c>
      <c r="F9">
        <f>LOG(B9)</f>
        <v>-1.3979400086720375</v>
      </c>
      <c r="G9">
        <f>LOG(C9)</f>
        <v>0</v>
      </c>
      <c r="H9">
        <f>LOG(D9)</f>
        <v>1.3979400086720377</v>
      </c>
    </row>
    <row r="10" spans="1:8" ht="12.75">
      <c r="A10" t="s">
        <v>407</v>
      </c>
      <c r="B10">
        <v>0.1</v>
      </c>
      <c r="C10">
        <v>2.1</v>
      </c>
      <c r="D10">
        <v>21</v>
      </c>
      <c r="F10">
        <f aca="true" t="shared" si="1" ref="F10:H13">LOG(B10)</f>
        <v>-1</v>
      </c>
      <c r="G10">
        <f t="shared" si="1"/>
        <v>0.3222192947339193</v>
      </c>
      <c r="H10">
        <f t="shared" si="1"/>
        <v>1.3222192947339193</v>
      </c>
    </row>
    <row r="11" spans="1:8" ht="12.75">
      <c r="A11" t="s">
        <v>408</v>
      </c>
      <c r="B11">
        <v>0.25</v>
      </c>
      <c r="C11">
        <v>8.35</v>
      </c>
      <c r="D11">
        <v>33</v>
      </c>
      <c r="F11">
        <f t="shared" si="1"/>
        <v>-0.6020599913279624</v>
      </c>
      <c r="G11">
        <f t="shared" si="1"/>
        <v>0.921686475483602</v>
      </c>
      <c r="H11">
        <f t="shared" si="1"/>
        <v>1.5185139398778875</v>
      </c>
    </row>
    <row r="12" spans="1:8" ht="12.75">
      <c r="A12" t="s">
        <v>409</v>
      </c>
      <c r="B12">
        <v>0.2</v>
      </c>
      <c r="C12">
        <v>4.32</v>
      </c>
      <c r="D12">
        <v>22</v>
      </c>
      <c r="F12">
        <f t="shared" si="1"/>
        <v>-0.6989700043360187</v>
      </c>
      <c r="G12">
        <f t="shared" si="1"/>
        <v>0.6354837468149122</v>
      </c>
      <c r="H12">
        <f t="shared" si="1"/>
        <v>1.3424226808222062</v>
      </c>
    </row>
    <row r="13" spans="1:8" ht="12.75">
      <c r="A13" t="s">
        <v>410</v>
      </c>
      <c r="B13">
        <v>0.22</v>
      </c>
      <c r="C13">
        <v>4.88</v>
      </c>
      <c r="D13">
        <v>22</v>
      </c>
      <c r="F13">
        <f t="shared" si="1"/>
        <v>-0.6575773191777937</v>
      </c>
      <c r="G13">
        <f t="shared" si="1"/>
        <v>0.6884198220027106</v>
      </c>
      <c r="H13">
        <f t="shared" si="1"/>
        <v>1.3424226808222062</v>
      </c>
    </row>
    <row r="15" spans="1:8" ht="12.75">
      <c r="A15" t="s">
        <v>835</v>
      </c>
      <c r="B15">
        <f>AVERAGE(B9:B13)</f>
        <v>0.162</v>
      </c>
      <c r="C15">
        <f>AVERAGE(C9:C13)</f>
        <v>4.13</v>
      </c>
      <c r="D15">
        <f>AVERAGE(D9:D13)</f>
        <v>24.6</v>
      </c>
      <c r="F15">
        <f>AVERAGE(F9:F13)</f>
        <v>-0.8713094647027624</v>
      </c>
      <c r="G15">
        <f>AVERAGE(G9:G13)</f>
        <v>0.5135618678070288</v>
      </c>
      <c r="H15">
        <f>AVERAGE(H9:H13)</f>
        <v>1.3847037209856516</v>
      </c>
    </row>
    <row r="16" spans="1:8" ht="12.75">
      <c r="A16" t="s">
        <v>411</v>
      </c>
      <c r="B16">
        <f>STDEV(B9:B13)</f>
        <v>0.08843076387773655</v>
      </c>
      <c r="C16">
        <f>STDEV(C9:C13)</f>
        <v>2.8427451521372786</v>
      </c>
      <c r="D16">
        <f>STDEV(D9:D13)</f>
        <v>4.92950301754649</v>
      </c>
      <c r="F16" s="1">
        <f>STDEV(F9:F13)</f>
        <v>0.33233213140594714</v>
      </c>
      <c r="G16" s="1">
        <f>STDEV(G9:G13)</f>
        <v>0.3578979311385969</v>
      </c>
      <c r="H16" s="1">
        <f>STDEV(H9:H13)</f>
        <v>0.0799375541130616</v>
      </c>
    </row>
    <row r="17" spans="1:4" ht="12.75">
      <c r="A17" t="s">
        <v>412</v>
      </c>
      <c r="B17" s="1">
        <f>B16/B15</f>
        <v>0.5458689128255342</v>
      </c>
      <c r="C17" s="1">
        <f>C16/C15</f>
        <v>0.6883160174666534</v>
      </c>
      <c r="D17" s="1">
        <f>D16/D15</f>
        <v>0.20038630152628006</v>
      </c>
    </row>
    <row r="18" spans="1:4" ht="12.75">
      <c r="A18" t="s">
        <v>539</v>
      </c>
      <c r="B18">
        <f>COUNT(B9:B13)</f>
        <v>5</v>
      </c>
      <c r="C18">
        <f>COUNT(C9:C13)</f>
        <v>5</v>
      </c>
      <c r="D18">
        <f>COUNT(D9:D13)</f>
        <v>5</v>
      </c>
    </row>
  </sheetData>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X34"/>
  <sheetViews>
    <sheetView workbookViewId="0" topLeftCell="C4">
      <selection activeCell="O13" sqref="O13:Q13"/>
    </sheetView>
  </sheetViews>
  <sheetFormatPr defaultColWidth="9.140625" defaultRowHeight="12.75"/>
  <cols>
    <col min="1" max="1" width="8.8515625" style="0" customWidth="1"/>
    <col min="2" max="2" width="39.7109375" style="0" customWidth="1"/>
    <col min="3" max="3" width="9.00390625" style="0" customWidth="1"/>
    <col min="4" max="4" width="8.8515625" style="0" customWidth="1"/>
    <col min="5" max="5" width="21.7109375" style="0" customWidth="1"/>
    <col min="6" max="6" width="14.8515625" style="0" customWidth="1"/>
    <col min="7" max="9" width="8.8515625" style="0" customWidth="1"/>
    <col min="10" max="10" width="23.00390625" style="0" customWidth="1"/>
    <col min="11" max="11" width="8.421875" style="0" customWidth="1"/>
    <col min="12" max="12" width="14.140625" style="0" customWidth="1"/>
    <col min="13" max="13" width="13.140625" style="0" customWidth="1"/>
    <col min="14" max="16384" width="8.8515625" style="0" customWidth="1"/>
  </cols>
  <sheetData>
    <row r="1" spans="1:17" ht="63.75">
      <c r="A1" s="7" t="s">
        <v>69</v>
      </c>
      <c r="B1" s="7" t="s">
        <v>57</v>
      </c>
      <c r="C1" s="7" t="s">
        <v>58</v>
      </c>
      <c r="D1" s="7" t="s">
        <v>59</v>
      </c>
      <c r="E1" s="7" t="s">
        <v>60</v>
      </c>
      <c r="F1" s="7" t="s">
        <v>92</v>
      </c>
      <c r="G1" s="7" t="s">
        <v>61</v>
      </c>
      <c r="H1" s="7" t="s">
        <v>62</v>
      </c>
      <c r="I1" s="7" t="s">
        <v>63</v>
      </c>
      <c r="J1" s="8" t="s">
        <v>64</v>
      </c>
      <c r="K1" s="8" t="s">
        <v>138</v>
      </c>
      <c r="L1" s="7" t="s">
        <v>1126</v>
      </c>
      <c r="M1" s="7" t="s">
        <v>1127</v>
      </c>
      <c r="N1" s="7" t="s">
        <v>66</v>
      </c>
      <c r="O1" s="7" t="s">
        <v>85</v>
      </c>
      <c r="P1" s="7" t="s">
        <v>67</v>
      </c>
      <c r="Q1" s="7" t="s">
        <v>68</v>
      </c>
    </row>
    <row r="2" spans="2:16" ht="12.75">
      <c r="B2" s="12" t="s">
        <v>1109</v>
      </c>
      <c r="D2" t="s">
        <v>1085</v>
      </c>
      <c r="E2" t="s">
        <v>750</v>
      </c>
      <c r="G2" t="s">
        <v>102</v>
      </c>
      <c r="H2" t="s">
        <v>94</v>
      </c>
      <c r="I2" t="s">
        <v>37</v>
      </c>
      <c r="J2" s="1">
        <v>0.32010249133955565</v>
      </c>
      <c r="K2">
        <v>0.737357852555823</v>
      </c>
      <c r="L2" t="s">
        <v>827</v>
      </c>
      <c r="N2" t="s">
        <v>86</v>
      </c>
      <c r="O2">
        <v>0.9646</v>
      </c>
      <c r="P2">
        <v>11</v>
      </c>
    </row>
    <row r="3" spans="2:16" ht="12.75">
      <c r="B3" s="12" t="s">
        <v>1109</v>
      </c>
      <c r="D3" t="s">
        <v>1085</v>
      </c>
      <c r="E3" t="s">
        <v>750</v>
      </c>
      <c r="G3" t="s">
        <v>102</v>
      </c>
      <c r="H3" t="s">
        <v>94</v>
      </c>
      <c r="I3" t="s">
        <v>41</v>
      </c>
      <c r="J3" s="1">
        <v>0.30655782139093446</v>
      </c>
      <c r="K3">
        <v>0.6660318455085299</v>
      </c>
      <c r="L3" t="s">
        <v>827</v>
      </c>
      <c r="N3" t="s">
        <v>95</v>
      </c>
      <c r="O3">
        <v>0.968</v>
      </c>
      <c r="P3">
        <v>11</v>
      </c>
    </row>
    <row r="4" ht="12.75">
      <c r="B4" s="12"/>
    </row>
    <row r="5" ht="12.75">
      <c r="B5" s="12"/>
    </row>
    <row r="6" ht="12.75">
      <c r="B6" s="12"/>
    </row>
    <row r="7" spans="2:4" ht="12.75">
      <c r="B7" s="12" t="s">
        <v>826</v>
      </c>
      <c r="D7" t="s">
        <v>828</v>
      </c>
    </row>
    <row r="9" spans="2:19" ht="12.75">
      <c r="B9" t="s">
        <v>1086</v>
      </c>
      <c r="S9" t="s">
        <v>1052</v>
      </c>
    </row>
    <row r="10" spans="2:24" ht="12.75">
      <c r="B10" t="s">
        <v>36</v>
      </c>
      <c r="E10" t="s">
        <v>38</v>
      </c>
      <c r="J10" t="s">
        <v>42</v>
      </c>
      <c r="L10" t="s">
        <v>823</v>
      </c>
      <c r="M10" t="s">
        <v>824</v>
      </c>
      <c r="N10" t="s">
        <v>825</v>
      </c>
      <c r="P10" t="s">
        <v>99</v>
      </c>
      <c r="Q10" t="s">
        <v>190</v>
      </c>
      <c r="S10" t="s">
        <v>36</v>
      </c>
      <c r="T10" t="s">
        <v>38</v>
      </c>
      <c r="U10" t="s">
        <v>42</v>
      </c>
      <c r="V10" t="s">
        <v>823</v>
      </c>
      <c r="W10" t="s">
        <v>824</v>
      </c>
      <c r="X10" t="s">
        <v>825</v>
      </c>
    </row>
    <row r="11" spans="2:21" ht="12.75">
      <c r="B11" t="s">
        <v>37</v>
      </c>
      <c r="E11" t="s">
        <v>41</v>
      </c>
      <c r="J11" t="s">
        <v>43</v>
      </c>
      <c r="S11" t="s">
        <v>37</v>
      </c>
      <c r="T11" t="s">
        <v>41</v>
      </c>
      <c r="U11" t="s">
        <v>43</v>
      </c>
    </row>
    <row r="12" spans="2:21" ht="12.75">
      <c r="B12" t="s">
        <v>39</v>
      </c>
      <c r="E12" t="s">
        <v>40</v>
      </c>
      <c r="J12" t="s">
        <v>40</v>
      </c>
      <c r="S12" t="s">
        <v>39</v>
      </c>
      <c r="T12" t="s">
        <v>40</v>
      </c>
      <c r="U12" t="s">
        <v>40</v>
      </c>
    </row>
    <row r="13" spans="2:24" ht="12.75">
      <c r="B13">
        <v>107.3131</v>
      </c>
      <c r="E13">
        <v>83.1868</v>
      </c>
      <c r="J13">
        <v>24.2423</v>
      </c>
      <c r="L13">
        <f>LOG(B13)</f>
        <v>2.0306527407026453</v>
      </c>
      <c r="M13">
        <f>LOG(E13)</f>
        <v>1.920054418334406</v>
      </c>
      <c r="N13">
        <f>LOG(J13)</f>
        <v>1.3845738213491328</v>
      </c>
      <c r="O13">
        <v>1</v>
      </c>
      <c r="P13">
        <f>(O13-3/8)/11.25</f>
        <v>0.05555555555555555</v>
      </c>
      <c r="Q13">
        <f>NORMSINV(P13)</f>
        <v>-1.5932188162983398</v>
      </c>
      <c r="S13">
        <v>13.4393</v>
      </c>
      <c r="T13">
        <v>10.7011</v>
      </c>
      <c r="U13">
        <v>2.5255</v>
      </c>
      <c r="V13">
        <v>1.1283766486244706</v>
      </c>
      <c r="W13">
        <v>1.0294284224866932</v>
      </c>
      <c r="X13">
        <v>0.40234737284836836</v>
      </c>
    </row>
    <row r="14" spans="2:24" ht="12.75">
      <c r="B14">
        <v>114.0168</v>
      </c>
      <c r="E14">
        <v>81.4342</v>
      </c>
      <c r="J14">
        <v>32.9357</v>
      </c>
      <c r="L14">
        <f aca="true" t="shared" si="0" ref="L14:L23">LOG(B14)</f>
        <v>2.056968847913121</v>
      </c>
      <c r="M14">
        <f aca="true" t="shared" si="1" ref="M14:M23">LOG(E14)</f>
        <v>1.9108068342744224</v>
      </c>
      <c r="N14">
        <f aca="true" t="shared" si="2" ref="N14:N23">LOG(J14)</f>
        <v>1.5176668981678987</v>
      </c>
      <c r="O14">
        <v>2</v>
      </c>
      <c r="P14">
        <f aca="true" t="shared" si="3" ref="P14:P23">(O14-3/8)/11.25</f>
        <v>0.14444444444444443</v>
      </c>
      <c r="Q14">
        <f aca="true" t="shared" si="4" ref="Q14:Q23">NORMSINV(P14)</f>
        <v>-1.0605623672325217</v>
      </c>
      <c r="S14">
        <v>15.6888</v>
      </c>
      <c r="T14">
        <v>12.7022</v>
      </c>
      <c r="U14">
        <v>2.68</v>
      </c>
      <c r="V14">
        <v>1.1955897266775242</v>
      </c>
      <c r="W14">
        <v>1.1038789465555172</v>
      </c>
      <c r="X14">
        <v>0.42813479402878885</v>
      </c>
    </row>
    <row r="15" spans="2:24" ht="12.75">
      <c r="B15">
        <v>72.7212</v>
      </c>
      <c r="E15">
        <v>59.5373</v>
      </c>
      <c r="J15">
        <v>14.0226</v>
      </c>
      <c r="L15">
        <f t="shared" si="0"/>
        <v>1.8616610367303905</v>
      </c>
      <c r="M15">
        <f t="shared" si="1"/>
        <v>1.774789135623283</v>
      </c>
      <c r="N15">
        <f t="shared" si="2"/>
        <v>1.1468285457964293</v>
      </c>
      <c r="O15">
        <v>3</v>
      </c>
      <c r="P15">
        <f t="shared" si="3"/>
        <v>0.23333333333333334</v>
      </c>
      <c r="Q15">
        <f t="shared" si="4"/>
        <v>-0.7279130489829739</v>
      </c>
      <c r="S15">
        <v>19.4308</v>
      </c>
      <c r="T15">
        <v>16.9414</v>
      </c>
      <c r="U15">
        <v>2.74</v>
      </c>
      <c r="V15">
        <v>1.2884906816308253</v>
      </c>
      <c r="W15">
        <v>1.2289492966175675</v>
      </c>
      <c r="X15">
        <v>0.437750562820388</v>
      </c>
    </row>
    <row r="16" spans="2:24" ht="12.75">
      <c r="B16">
        <v>48.0882</v>
      </c>
      <c r="E16">
        <v>40.6247</v>
      </c>
      <c r="J16">
        <v>7.5453</v>
      </c>
      <c r="L16">
        <f t="shared" si="0"/>
        <v>1.6820385212056892</v>
      </c>
      <c r="M16">
        <f t="shared" si="1"/>
        <v>1.6087901668773765</v>
      </c>
      <c r="N16">
        <f t="shared" si="2"/>
        <v>0.8776765119385688</v>
      </c>
      <c r="O16">
        <v>4</v>
      </c>
      <c r="P16">
        <f t="shared" si="3"/>
        <v>0.32222222222222224</v>
      </c>
      <c r="Q16">
        <f t="shared" si="4"/>
        <v>-0.46149373552580664</v>
      </c>
      <c r="S16">
        <v>23.9187</v>
      </c>
      <c r="T16">
        <v>20.9319</v>
      </c>
      <c r="U16">
        <v>2.7632</v>
      </c>
      <c r="V16">
        <v>1.3787375717139922</v>
      </c>
      <c r="W16">
        <v>1.3208086512753512</v>
      </c>
      <c r="X16">
        <v>0.44141232022338356</v>
      </c>
    </row>
    <row r="17" spans="2:24" ht="12.75">
      <c r="B17">
        <v>43.3516</v>
      </c>
      <c r="E17">
        <v>38.6239</v>
      </c>
      <c r="J17">
        <v>5.2953</v>
      </c>
      <c r="L17">
        <f t="shared" si="0"/>
        <v>1.6370051308398623</v>
      </c>
      <c r="M17">
        <f t="shared" si="1"/>
        <v>1.5868561239996803</v>
      </c>
      <c r="N17">
        <f t="shared" si="2"/>
        <v>0.7238905696661332</v>
      </c>
      <c r="O17">
        <v>5</v>
      </c>
      <c r="P17">
        <f t="shared" si="3"/>
        <v>0.4111111111111111</v>
      </c>
      <c r="Q17">
        <f t="shared" si="4"/>
        <v>-0.22468781495583146</v>
      </c>
      <c r="S17">
        <v>27.412</v>
      </c>
      <c r="T17">
        <v>24.9228</v>
      </c>
      <c r="U17">
        <v>2.7861</v>
      </c>
      <c r="V17">
        <v>1.437940723145357</v>
      </c>
      <c r="W17">
        <v>1.3965968323787235</v>
      </c>
      <c r="X17">
        <v>0.44499670026769556</v>
      </c>
    </row>
    <row r="18" spans="2:24" ht="12.75">
      <c r="B18">
        <v>43.8376</v>
      </c>
      <c r="E18">
        <v>37.3689</v>
      </c>
      <c r="J18">
        <v>6.0304</v>
      </c>
      <c r="L18">
        <f t="shared" si="0"/>
        <v>1.641846769580147</v>
      </c>
      <c r="M18">
        <f t="shared" si="1"/>
        <v>1.572510314040132</v>
      </c>
      <c r="N18">
        <f t="shared" si="2"/>
        <v>0.7803461201055297</v>
      </c>
      <c r="O18">
        <v>6</v>
      </c>
      <c r="P18">
        <f t="shared" si="3"/>
        <v>0.5</v>
      </c>
      <c r="Q18">
        <f t="shared" si="4"/>
        <v>5.471417352459603E-10</v>
      </c>
      <c r="S18">
        <v>43.3516</v>
      </c>
      <c r="T18">
        <v>37.3689</v>
      </c>
      <c r="U18">
        <v>5.2953</v>
      </c>
      <c r="V18">
        <v>1.6370051308398623</v>
      </c>
      <c r="W18">
        <v>1.572510314040132</v>
      </c>
      <c r="X18">
        <v>0.7238905696661332</v>
      </c>
    </row>
    <row r="19" spans="2:24" ht="12.75">
      <c r="B19">
        <v>27.412</v>
      </c>
      <c r="E19">
        <v>24.9228</v>
      </c>
      <c r="J19">
        <v>2.7861</v>
      </c>
      <c r="L19">
        <f t="shared" si="0"/>
        <v>1.437940723145357</v>
      </c>
      <c r="M19">
        <f t="shared" si="1"/>
        <v>1.3965968323787235</v>
      </c>
      <c r="N19">
        <f t="shared" si="2"/>
        <v>0.44499670026769556</v>
      </c>
      <c r="O19">
        <v>7</v>
      </c>
      <c r="P19">
        <f t="shared" si="3"/>
        <v>0.5888888888888889</v>
      </c>
      <c r="Q19">
        <f t="shared" si="4"/>
        <v>0.22468781495583062</v>
      </c>
      <c r="S19">
        <v>43.8376</v>
      </c>
      <c r="T19">
        <v>38.6239</v>
      </c>
      <c r="U19">
        <v>6.0304</v>
      </c>
      <c r="V19">
        <v>1.641846769580147</v>
      </c>
      <c r="W19">
        <v>1.5868561239996803</v>
      </c>
      <c r="X19">
        <v>0.7803461201055297</v>
      </c>
    </row>
    <row r="20" spans="2:24" ht="12.75">
      <c r="B20">
        <v>23.9187</v>
      </c>
      <c r="E20">
        <v>20.9319</v>
      </c>
      <c r="J20">
        <v>2.5255</v>
      </c>
      <c r="L20">
        <f t="shared" si="0"/>
        <v>1.3787375717139922</v>
      </c>
      <c r="M20">
        <f t="shared" si="1"/>
        <v>1.3208086512753512</v>
      </c>
      <c r="N20">
        <f t="shared" si="2"/>
        <v>0.40234737284836836</v>
      </c>
      <c r="O20">
        <v>8</v>
      </c>
      <c r="P20">
        <f t="shared" si="3"/>
        <v>0.6777777777777778</v>
      </c>
      <c r="Q20">
        <f t="shared" si="4"/>
        <v>0.46149373552580664</v>
      </c>
      <c r="S20">
        <v>48.0882</v>
      </c>
      <c r="T20">
        <v>40.6247</v>
      </c>
      <c r="U20">
        <v>7.5453</v>
      </c>
      <c r="V20">
        <v>1.6820385212056892</v>
      </c>
      <c r="W20">
        <v>1.6087901668773765</v>
      </c>
      <c r="X20">
        <v>0.8776765119385688</v>
      </c>
    </row>
    <row r="21" spans="2:24" ht="12.75">
      <c r="B21">
        <v>19.4308</v>
      </c>
      <c r="E21">
        <v>16.9414</v>
      </c>
      <c r="J21">
        <v>2.7632</v>
      </c>
      <c r="L21">
        <f t="shared" si="0"/>
        <v>1.2884906816308253</v>
      </c>
      <c r="M21">
        <f t="shared" si="1"/>
        <v>1.2289492966175675</v>
      </c>
      <c r="N21">
        <f t="shared" si="2"/>
        <v>0.44141232022338356</v>
      </c>
      <c r="O21">
        <v>9</v>
      </c>
      <c r="P21">
        <f t="shared" si="3"/>
        <v>0.7666666666666667</v>
      </c>
      <c r="Q21">
        <f t="shared" si="4"/>
        <v>0.7279130489829739</v>
      </c>
      <c r="S21">
        <v>72.7212</v>
      </c>
      <c r="T21">
        <v>59.5373</v>
      </c>
      <c r="U21">
        <v>14.0226</v>
      </c>
      <c r="V21">
        <v>1.8616610367303905</v>
      </c>
      <c r="W21">
        <v>1.774789135623283</v>
      </c>
      <c r="X21">
        <v>1.1468285457964293</v>
      </c>
    </row>
    <row r="22" spans="2:24" ht="12.75">
      <c r="B22">
        <v>15.6888</v>
      </c>
      <c r="E22">
        <v>12.7022</v>
      </c>
      <c r="J22" s="11">
        <v>2.68</v>
      </c>
      <c r="L22">
        <f t="shared" si="0"/>
        <v>1.1955897266775242</v>
      </c>
      <c r="M22">
        <f t="shared" si="1"/>
        <v>1.1038789465555172</v>
      </c>
      <c r="N22">
        <f t="shared" si="2"/>
        <v>0.42813479402878885</v>
      </c>
      <c r="O22">
        <v>10</v>
      </c>
      <c r="P22">
        <f t="shared" si="3"/>
        <v>0.8555555555555555</v>
      </c>
      <c r="Q22">
        <f t="shared" si="4"/>
        <v>1.0605623672325213</v>
      </c>
      <c r="S22">
        <v>107.3131</v>
      </c>
      <c r="T22">
        <v>81.4342</v>
      </c>
      <c r="U22">
        <v>24.2423</v>
      </c>
      <c r="V22">
        <v>2.0306527407026453</v>
      </c>
      <c r="W22">
        <v>1.9108068342744224</v>
      </c>
      <c r="X22">
        <v>1.3845738213491328</v>
      </c>
    </row>
    <row r="23" spans="2:24" ht="12.75">
      <c r="B23">
        <v>13.4393</v>
      </c>
      <c r="E23">
        <v>10.7011</v>
      </c>
      <c r="J23">
        <v>2.74</v>
      </c>
      <c r="L23">
        <f t="shared" si="0"/>
        <v>1.1283766486244706</v>
      </c>
      <c r="M23">
        <f t="shared" si="1"/>
        <v>1.0294284224866932</v>
      </c>
      <c r="N23">
        <f t="shared" si="2"/>
        <v>0.437750562820388</v>
      </c>
      <c r="O23">
        <v>11</v>
      </c>
      <c r="P23">
        <f t="shared" si="3"/>
        <v>0.9444444444444444</v>
      </c>
      <c r="Q23">
        <f t="shared" si="4"/>
        <v>1.5932188162983385</v>
      </c>
      <c r="S23">
        <v>114.0168</v>
      </c>
      <c r="T23">
        <v>83.1868</v>
      </c>
      <c r="U23">
        <v>32.9357</v>
      </c>
      <c r="V23">
        <v>2.056968847913121</v>
      </c>
      <c r="W23">
        <v>1.920054418334406</v>
      </c>
      <c r="X23">
        <v>1.5176668981678987</v>
      </c>
    </row>
    <row r="25" spans="1:14" ht="12.75">
      <c r="A25" t="s">
        <v>134</v>
      </c>
      <c r="B25">
        <f>AVERAGE(B13:B23)</f>
        <v>48.11073636363637</v>
      </c>
      <c r="E25">
        <f>AVERAGE(E13:E23)</f>
        <v>38.81592727272727</v>
      </c>
      <c r="J25">
        <f>AVERAGE(J13:J23)</f>
        <v>9.415127272727272</v>
      </c>
      <c r="L25">
        <f>AVERAGE(L13:L23)</f>
        <v>1.5763007635240023</v>
      </c>
      <c r="M25">
        <f>AVERAGE(M13:M23)</f>
        <v>1.4957699220421048</v>
      </c>
      <c r="N25">
        <f>AVERAGE(N13:N23)</f>
        <v>0.7805112924738471</v>
      </c>
    </row>
    <row r="26" spans="1:14" ht="12.75">
      <c r="A26" t="s">
        <v>135</v>
      </c>
      <c r="B26">
        <f>STDEV(B13:B23)</f>
        <v>35.474829249970256</v>
      </c>
      <c r="E26">
        <f>STDEV(E13:E23)</f>
        <v>25.852643676579422</v>
      </c>
      <c r="J26">
        <f>STDEV(J13:J23)</f>
        <v>10.255706574399532</v>
      </c>
      <c r="L26" s="1">
        <f>STDEV(L13:L23)</f>
        <v>0.32010249133955565</v>
      </c>
      <c r="M26" s="1">
        <f>STDEV(M13:M23)</f>
        <v>0.30655782139093446</v>
      </c>
      <c r="N26" s="1">
        <f>STDEV(N13:N23)</f>
        <v>0.4083314203445569</v>
      </c>
    </row>
    <row r="27" spans="1:14" ht="12.75">
      <c r="A27" t="s">
        <v>136</v>
      </c>
      <c r="B27">
        <f>COUNT(B13:B23)</f>
        <v>11</v>
      </c>
      <c r="E27">
        <f>COUNT(E13:E23)</f>
        <v>11</v>
      </c>
      <c r="J27">
        <f>COUNT(J13:J23)</f>
        <v>11</v>
      </c>
      <c r="L27">
        <f>COUNT(L13:L23)</f>
        <v>11</v>
      </c>
      <c r="M27">
        <f>COUNT(M13:M23)</f>
        <v>11</v>
      </c>
      <c r="N27">
        <f>COUNT(N13:N23)</f>
        <v>11</v>
      </c>
    </row>
    <row r="28" spans="1:14" ht="12.75">
      <c r="A28" t="s">
        <v>137</v>
      </c>
      <c r="B28">
        <f>B26/(B27^0.5)</f>
        <v>10.69606346582511</v>
      </c>
      <c r="E28">
        <f>E26/(E27^0.5)</f>
        <v>7.79486535581528</v>
      </c>
      <c r="J28">
        <f>J26/(J27^0.5)</f>
        <v>3.092211878842213</v>
      </c>
      <c r="L28">
        <f>L26/(L27^0.5)</f>
        <v>0.09651453256648136</v>
      </c>
      <c r="M28">
        <f>M26/(M27^0.5)</f>
        <v>0.09243066091841055</v>
      </c>
      <c r="N28">
        <f>N26/(N27^0.5)</f>
        <v>0.12311655558143533</v>
      </c>
    </row>
    <row r="29" spans="1:10" ht="12.75">
      <c r="A29" t="s">
        <v>138</v>
      </c>
      <c r="B29" s="1">
        <f>B26/B25</f>
        <v>0.737357852555823</v>
      </c>
      <c r="E29" s="1">
        <f>E26/E25</f>
        <v>0.6660318455085299</v>
      </c>
      <c r="J29" s="1">
        <f>J26/J25</f>
        <v>1.08927965361734</v>
      </c>
    </row>
    <row r="31" spans="5:13" ht="12.75">
      <c r="E31">
        <f>E25+((E26^2)/2)</f>
        <v>372.99551980681827</v>
      </c>
      <c r="F31">
        <f>EXP(E31)</f>
        <v>9.770032912471515E+161</v>
      </c>
      <c r="M31" t="s">
        <v>401</v>
      </c>
    </row>
    <row r="32" spans="5:13" ht="12.75">
      <c r="E32">
        <f>LOG(E31)</f>
        <v>2.5717036153613364</v>
      </c>
      <c r="L32">
        <f>L25+((L26^2)/2)</f>
        <v>1.6275335660048975</v>
      </c>
      <c r="M32">
        <f>EXP(L32)</f>
        <v>5.091301859860911</v>
      </c>
    </row>
    <row r="34" ht="12.75">
      <c r="E34">
        <f>E25/(((1+E29^2))^1/2)</f>
        <v>53.77662756570625</v>
      </c>
    </row>
  </sheetData>
  <printOptions/>
  <pageMargins left="0.75" right="0.75" top="1" bottom="1" header="0.5" footer="0.5"/>
  <pageSetup orientation="portrait"/>
  <drawing r:id="rId1"/>
</worksheet>
</file>

<file path=xl/worksheets/sheet37.xml><?xml version="1.0" encoding="utf-8"?>
<worksheet xmlns="http://schemas.openxmlformats.org/spreadsheetml/2006/main" xmlns:r="http://schemas.openxmlformats.org/officeDocument/2006/relationships">
  <dimension ref="A1:S21"/>
  <sheetViews>
    <sheetView workbookViewId="0" topLeftCell="A1">
      <selection activeCell="B21" sqref="B21:F21"/>
    </sheetView>
  </sheetViews>
  <sheetFormatPr defaultColWidth="9.140625" defaultRowHeight="12.75"/>
  <cols>
    <col min="1" max="2" width="8.8515625" style="0" customWidth="1"/>
    <col min="3" max="3" width="19.140625" style="0" customWidth="1"/>
    <col min="4" max="4" width="20.8515625" style="0" customWidth="1"/>
    <col min="5" max="16384" width="8.8515625" style="0" customWidth="1"/>
  </cols>
  <sheetData>
    <row r="1" spans="1:17" ht="63.75">
      <c r="A1" s="7" t="s">
        <v>69</v>
      </c>
      <c r="B1" s="7" t="s">
        <v>57</v>
      </c>
      <c r="C1" s="7" t="s">
        <v>58</v>
      </c>
      <c r="D1" s="7" t="s">
        <v>59</v>
      </c>
      <c r="E1" s="7" t="s">
        <v>60</v>
      </c>
      <c r="F1" s="7" t="s">
        <v>92</v>
      </c>
      <c r="G1" s="7" t="s">
        <v>61</v>
      </c>
      <c r="H1" s="7" t="s">
        <v>62</v>
      </c>
      <c r="I1" s="7" t="s">
        <v>63</v>
      </c>
      <c r="J1" s="8" t="s">
        <v>64</v>
      </c>
      <c r="K1" s="8" t="s">
        <v>138</v>
      </c>
      <c r="L1" s="7" t="s">
        <v>1126</v>
      </c>
      <c r="M1" s="7" t="s">
        <v>1127</v>
      </c>
      <c r="N1" s="7" t="s">
        <v>66</v>
      </c>
      <c r="O1" s="7" t="s">
        <v>85</v>
      </c>
      <c r="P1" s="7" t="s">
        <v>67</v>
      </c>
      <c r="Q1" s="7" t="s">
        <v>68</v>
      </c>
    </row>
    <row r="2" spans="2:9" ht="12.75">
      <c r="B2" t="s">
        <v>1110</v>
      </c>
      <c r="D2" t="s">
        <v>93</v>
      </c>
      <c r="E2" t="s">
        <v>830</v>
      </c>
      <c r="I2" t="s">
        <v>831</v>
      </c>
    </row>
    <row r="3" ht="12.75">
      <c r="I3" t="s">
        <v>832</v>
      </c>
    </row>
    <row r="5" ht="12.75">
      <c r="C5" t="s">
        <v>1097</v>
      </c>
    </row>
    <row r="6" spans="2:12" ht="12.75">
      <c r="B6" t="s">
        <v>1106</v>
      </c>
      <c r="L6" t="s">
        <v>1106</v>
      </c>
    </row>
    <row r="7" spans="2:19" ht="12.75">
      <c r="B7" t="s">
        <v>177</v>
      </c>
      <c r="C7" t="s">
        <v>1093</v>
      </c>
      <c r="D7" t="s">
        <v>1038</v>
      </c>
      <c r="E7" t="s">
        <v>1094</v>
      </c>
      <c r="F7" t="s">
        <v>1095</v>
      </c>
      <c r="G7" t="s">
        <v>1096</v>
      </c>
      <c r="H7" t="s">
        <v>1098</v>
      </c>
      <c r="I7" t="s">
        <v>1099</v>
      </c>
      <c r="J7" t="s">
        <v>829</v>
      </c>
      <c r="M7" t="s">
        <v>1105</v>
      </c>
      <c r="N7" t="s">
        <v>1094</v>
      </c>
      <c r="O7" t="s">
        <v>1100</v>
      </c>
      <c r="P7" t="s">
        <v>1101</v>
      </c>
      <c r="Q7" t="s">
        <v>1102</v>
      </c>
      <c r="R7" t="s">
        <v>1103</v>
      </c>
      <c r="S7" t="s">
        <v>1104</v>
      </c>
    </row>
    <row r="8" spans="2:19" ht="12.75">
      <c r="B8">
        <v>1</v>
      </c>
      <c r="C8">
        <v>1.3</v>
      </c>
      <c r="D8">
        <f>LOG(C8)</f>
        <v>0.11394335230683679</v>
      </c>
      <c r="E8">
        <v>2.17</v>
      </c>
      <c r="F8">
        <v>1.5</v>
      </c>
      <c r="G8">
        <v>1.45</v>
      </c>
      <c r="H8">
        <v>27.67</v>
      </c>
      <c r="I8">
        <v>139</v>
      </c>
      <c r="J8">
        <v>0.2</v>
      </c>
      <c r="M8">
        <v>1</v>
      </c>
      <c r="N8">
        <v>4.67</v>
      </c>
      <c r="O8">
        <v>1.5</v>
      </c>
      <c r="P8">
        <v>3.11</v>
      </c>
      <c r="Q8">
        <v>90</v>
      </c>
      <c r="R8">
        <v>169</v>
      </c>
      <c r="S8">
        <v>0.3</v>
      </c>
    </row>
    <row r="9" spans="2:19" ht="12.75">
      <c r="B9">
        <v>2</v>
      </c>
      <c r="C9">
        <v>0.5</v>
      </c>
      <c r="D9">
        <f aca="true" t="shared" si="0" ref="D9:D14">LOG(C9)</f>
        <v>-0.3010299956639812</v>
      </c>
      <c r="E9">
        <v>1.5</v>
      </c>
      <c r="F9">
        <v>7.9</v>
      </c>
      <c r="G9">
        <v>0.19</v>
      </c>
      <c r="H9">
        <v>5.83</v>
      </c>
      <c r="I9">
        <v>280</v>
      </c>
      <c r="J9">
        <v>0.02</v>
      </c>
      <c r="M9">
        <v>2</v>
      </c>
      <c r="N9">
        <v>1.83</v>
      </c>
      <c r="O9">
        <v>7.7</v>
      </c>
      <c r="P9">
        <v>0.24</v>
      </c>
      <c r="Q9">
        <v>36.67</v>
      </c>
      <c r="R9">
        <v>277</v>
      </c>
      <c r="S9">
        <v>0.13</v>
      </c>
    </row>
    <row r="10" spans="2:19" ht="12.75">
      <c r="B10">
        <v>3</v>
      </c>
      <c r="C10">
        <v>0.5</v>
      </c>
      <c r="D10">
        <f t="shared" si="0"/>
        <v>-0.3010299956639812</v>
      </c>
      <c r="E10">
        <v>1.17</v>
      </c>
      <c r="F10">
        <v>4.2</v>
      </c>
      <c r="G10">
        <v>0.28</v>
      </c>
      <c r="H10">
        <v>8.33</v>
      </c>
      <c r="I10">
        <v>213</v>
      </c>
      <c r="J10">
        <v>0.04</v>
      </c>
      <c r="M10">
        <v>3</v>
      </c>
      <c r="N10">
        <v>2</v>
      </c>
      <c r="O10">
        <v>4.1</v>
      </c>
      <c r="P10">
        <v>0.9</v>
      </c>
      <c r="Q10">
        <v>53.33</v>
      </c>
      <c r="R10">
        <v>360</v>
      </c>
      <c r="S10">
        <v>0.15</v>
      </c>
    </row>
    <row r="11" spans="2:19" ht="12.75">
      <c r="B11">
        <v>4</v>
      </c>
      <c r="C11">
        <v>0.8</v>
      </c>
      <c r="D11">
        <f t="shared" si="0"/>
        <v>-0.09691001300805639</v>
      </c>
      <c r="E11">
        <v>1.67</v>
      </c>
      <c r="F11">
        <v>3.2</v>
      </c>
      <c r="G11">
        <v>0.52</v>
      </c>
      <c r="H11">
        <v>29.17</v>
      </c>
      <c r="I11">
        <v>137</v>
      </c>
      <c r="J11">
        <v>0.21</v>
      </c>
      <c r="M11">
        <v>4</v>
      </c>
      <c r="N11">
        <v>3.67</v>
      </c>
      <c r="O11">
        <v>4.7</v>
      </c>
      <c r="P11">
        <v>0.78</v>
      </c>
      <c r="Q11">
        <v>10.33</v>
      </c>
      <c r="R11">
        <v>193</v>
      </c>
      <c r="S11">
        <v>0.565</v>
      </c>
    </row>
    <row r="12" spans="2:19" ht="12.75">
      <c r="B12">
        <v>5</v>
      </c>
      <c r="C12">
        <v>1.7</v>
      </c>
      <c r="D12">
        <f t="shared" si="0"/>
        <v>0.2304489213782739</v>
      </c>
      <c r="E12">
        <v>3.33</v>
      </c>
      <c r="F12">
        <v>5.2</v>
      </c>
      <c r="G12">
        <v>0.64</v>
      </c>
      <c r="H12">
        <v>19.17</v>
      </c>
      <c r="I12">
        <v>159</v>
      </c>
      <c r="J12">
        <v>0.12</v>
      </c>
      <c r="M12">
        <v>5</v>
      </c>
      <c r="N12">
        <v>7</v>
      </c>
      <c r="O12">
        <v>4.6</v>
      </c>
      <c r="P12">
        <v>1.52</v>
      </c>
      <c r="Q12">
        <v>65</v>
      </c>
      <c r="R12">
        <v>279</v>
      </c>
      <c r="S12">
        <v>0.23</v>
      </c>
    </row>
    <row r="13" spans="2:19" ht="12.75">
      <c r="B13">
        <v>6</v>
      </c>
      <c r="C13">
        <v>1.1</v>
      </c>
      <c r="D13">
        <f t="shared" si="0"/>
        <v>0.04139268515822508</v>
      </c>
      <c r="E13">
        <v>2</v>
      </c>
      <c r="F13">
        <v>2.2</v>
      </c>
      <c r="G13">
        <v>0.91</v>
      </c>
      <c r="H13">
        <v>20</v>
      </c>
      <c r="I13">
        <v>161</v>
      </c>
      <c r="J13">
        <v>0.12</v>
      </c>
      <c r="M13">
        <v>6</v>
      </c>
      <c r="N13">
        <v>4.7</v>
      </c>
      <c r="O13">
        <v>5.5</v>
      </c>
      <c r="P13">
        <v>0.85</v>
      </c>
      <c r="Q13">
        <v>1005</v>
      </c>
      <c r="R13">
        <v>381</v>
      </c>
      <c r="S13">
        <v>0.28</v>
      </c>
    </row>
    <row r="14" spans="2:19" ht="12.75">
      <c r="B14">
        <v>7</v>
      </c>
      <c r="C14">
        <v>1.3</v>
      </c>
      <c r="D14">
        <f t="shared" si="0"/>
        <v>0.11394335230683679</v>
      </c>
      <c r="E14">
        <v>1.33</v>
      </c>
      <c r="F14">
        <v>3.1</v>
      </c>
      <c r="G14">
        <v>0.43</v>
      </c>
      <c r="H14">
        <v>20.33</v>
      </c>
      <c r="I14">
        <v>122</v>
      </c>
      <c r="J14">
        <v>0.17</v>
      </c>
      <c r="M14">
        <v>7</v>
      </c>
      <c r="N14">
        <v>4.17</v>
      </c>
      <c r="O14">
        <v>4.5</v>
      </c>
      <c r="P14">
        <v>0.93</v>
      </c>
      <c r="Q14">
        <v>80</v>
      </c>
      <c r="R14">
        <v>205</v>
      </c>
      <c r="S14">
        <v>0.39</v>
      </c>
    </row>
    <row r="15" spans="2:19" ht="12.75">
      <c r="B15">
        <v>8</v>
      </c>
      <c r="C15">
        <v>0</v>
      </c>
      <c r="E15">
        <v>0</v>
      </c>
      <c r="F15">
        <v>0</v>
      </c>
      <c r="G15">
        <v>0</v>
      </c>
      <c r="H15">
        <v>5.5</v>
      </c>
      <c r="I15">
        <v>166</v>
      </c>
      <c r="J15">
        <v>0.03</v>
      </c>
      <c r="M15">
        <v>8</v>
      </c>
      <c r="N15">
        <v>0</v>
      </c>
      <c r="O15">
        <v>0</v>
      </c>
      <c r="P15">
        <v>0</v>
      </c>
      <c r="Q15">
        <v>113.33</v>
      </c>
      <c r="R15">
        <v>266</v>
      </c>
      <c r="S15">
        <v>0.43</v>
      </c>
    </row>
    <row r="16" spans="3:4" ht="12.75">
      <c r="C16" t="s">
        <v>835</v>
      </c>
      <c r="D16">
        <f>AVERAGE(D8:D14)</f>
        <v>-0.02846309902654947</v>
      </c>
    </row>
    <row r="17" spans="3:4" ht="12.75">
      <c r="C17" t="s">
        <v>411</v>
      </c>
      <c r="D17">
        <f>STDEV(D8:D14)</f>
        <v>0.21045382152847147</v>
      </c>
    </row>
    <row r="18" spans="3:4" ht="12.75">
      <c r="C18" t="s">
        <v>136</v>
      </c>
      <c r="D18">
        <f>COUNT(D8:D14)</f>
        <v>7</v>
      </c>
    </row>
    <row r="21" spans="2:6" ht="12.75">
      <c r="B21" t="s">
        <v>1110</v>
      </c>
      <c r="C21" t="s">
        <v>860</v>
      </c>
      <c r="D21">
        <v>0.21045382152847147</v>
      </c>
      <c r="E21">
        <v>8</v>
      </c>
      <c r="F21" t="s">
        <v>667</v>
      </c>
    </row>
  </sheetData>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X40"/>
  <sheetViews>
    <sheetView workbookViewId="0" topLeftCell="C10">
      <selection activeCell="X15" sqref="X15"/>
    </sheetView>
  </sheetViews>
  <sheetFormatPr defaultColWidth="9.140625" defaultRowHeight="12.75"/>
  <cols>
    <col min="1" max="1" width="81.140625" style="0" bestFit="1" customWidth="1"/>
    <col min="2" max="2" width="9.00390625" style="0" bestFit="1" customWidth="1"/>
    <col min="3" max="4" width="8.8515625" style="0" customWidth="1"/>
    <col min="5" max="5" width="19.8515625" style="0" customWidth="1"/>
    <col min="6" max="6" width="23.140625" style="0" customWidth="1"/>
    <col min="7" max="9" width="8.8515625" style="0" customWidth="1"/>
    <col min="10" max="10" width="22.8515625" style="0" customWidth="1"/>
    <col min="11" max="11" width="9.00390625" style="0" customWidth="1"/>
    <col min="12" max="12" width="18.140625" style="0" customWidth="1"/>
    <col min="13" max="13" width="14.28125" style="0" customWidth="1"/>
    <col min="14" max="14" width="22.8515625" style="0" customWidth="1"/>
    <col min="15" max="16384" width="8.8515625" style="0" customWidth="1"/>
  </cols>
  <sheetData>
    <row r="1" spans="1:21" ht="63.75">
      <c r="A1" s="7" t="s">
        <v>69</v>
      </c>
      <c r="B1" s="7" t="s">
        <v>57</v>
      </c>
      <c r="C1" s="7" t="s">
        <v>58</v>
      </c>
      <c r="D1" s="7" t="s">
        <v>59</v>
      </c>
      <c r="E1" s="7" t="s">
        <v>60</v>
      </c>
      <c r="F1" s="7" t="s">
        <v>92</v>
      </c>
      <c r="G1" s="7" t="s">
        <v>61</v>
      </c>
      <c r="H1" s="7" t="s">
        <v>62</v>
      </c>
      <c r="I1" s="7" t="s">
        <v>63</v>
      </c>
      <c r="J1" s="8" t="s">
        <v>64</v>
      </c>
      <c r="K1" s="8" t="s">
        <v>138</v>
      </c>
      <c r="L1" s="7" t="s">
        <v>1126</v>
      </c>
      <c r="M1" s="7" t="s">
        <v>1127</v>
      </c>
      <c r="N1" s="7" t="s">
        <v>66</v>
      </c>
      <c r="O1" s="7" t="s">
        <v>85</v>
      </c>
      <c r="P1" s="7" t="s">
        <v>67</v>
      </c>
      <c r="Q1" s="7" t="s">
        <v>68</v>
      </c>
      <c r="R1" s="10"/>
      <c r="S1" s="10"/>
      <c r="T1" s="10"/>
      <c r="U1" s="10"/>
    </row>
    <row r="2" spans="2:16" ht="12.75">
      <c r="B2" t="s">
        <v>967</v>
      </c>
      <c r="E2" t="s">
        <v>1091</v>
      </c>
      <c r="G2" t="s">
        <v>1088</v>
      </c>
      <c r="H2" t="s">
        <v>94</v>
      </c>
      <c r="I2" t="s">
        <v>34</v>
      </c>
      <c r="J2">
        <v>0.16159241939248578</v>
      </c>
      <c r="K2">
        <v>0.31737667726513685</v>
      </c>
      <c r="L2" t="s">
        <v>106</v>
      </c>
      <c r="N2" t="s">
        <v>107</v>
      </c>
      <c r="O2">
        <v>0.9741</v>
      </c>
      <c r="P2">
        <v>21</v>
      </c>
    </row>
    <row r="3" spans="2:16" ht="12.75">
      <c r="B3" t="s">
        <v>967</v>
      </c>
      <c r="E3" t="s">
        <v>1091</v>
      </c>
      <c r="G3" t="s">
        <v>1088</v>
      </c>
      <c r="H3" t="s">
        <v>94</v>
      </c>
      <c r="I3" t="s">
        <v>938</v>
      </c>
      <c r="J3">
        <v>0.4331868505292928</v>
      </c>
      <c r="K3">
        <v>0.841146311885548</v>
      </c>
      <c r="L3" t="s">
        <v>106</v>
      </c>
      <c r="N3" t="s">
        <v>95</v>
      </c>
      <c r="O3">
        <v>0.9494</v>
      </c>
      <c r="P3">
        <v>11</v>
      </c>
    </row>
    <row r="11" spans="4:16" ht="12.75">
      <c r="D11" t="s">
        <v>1087</v>
      </c>
      <c r="E11" t="s">
        <v>1092</v>
      </c>
      <c r="P11" t="s">
        <v>1089</v>
      </c>
    </row>
    <row r="12" spans="4:23" ht="12.75">
      <c r="D12" t="s">
        <v>35</v>
      </c>
      <c r="K12" t="s">
        <v>1052</v>
      </c>
      <c r="L12" t="s">
        <v>1052</v>
      </c>
      <c r="W12" t="s">
        <v>1052</v>
      </c>
    </row>
    <row r="13" spans="4:24" ht="12.75">
      <c r="D13" t="s">
        <v>192</v>
      </c>
      <c r="E13" t="s">
        <v>34</v>
      </c>
      <c r="F13" t="s">
        <v>935</v>
      </c>
      <c r="I13" t="s">
        <v>936</v>
      </c>
      <c r="J13" t="s">
        <v>190</v>
      </c>
      <c r="K13" t="s">
        <v>34</v>
      </c>
      <c r="L13" t="s">
        <v>935</v>
      </c>
      <c r="P13" t="s">
        <v>192</v>
      </c>
      <c r="Q13" t="s">
        <v>194</v>
      </c>
      <c r="R13" t="s">
        <v>937</v>
      </c>
      <c r="W13" t="s">
        <v>194</v>
      </c>
      <c r="X13" t="s">
        <v>937</v>
      </c>
    </row>
    <row r="14" spans="4:22" ht="12.75">
      <c r="D14">
        <v>1.7306</v>
      </c>
      <c r="E14">
        <v>291.471</v>
      </c>
      <c r="F14">
        <f>LOG(E14)</f>
        <v>2.4645953509766683</v>
      </c>
      <c r="H14">
        <v>1</v>
      </c>
      <c r="I14">
        <f>(H14-3/8)/21.25</f>
        <v>0.029411764705882353</v>
      </c>
      <c r="J14">
        <f>NORMSINV(I14)</f>
        <v>-1.8895089737486228</v>
      </c>
      <c r="K14">
        <v>143.1116</v>
      </c>
      <c r="L14">
        <v>2.155674837196624</v>
      </c>
      <c r="U14" t="s">
        <v>99</v>
      </c>
      <c r="V14" t="s">
        <v>190</v>
      </c>
    </row>
    <row r="15" spans="4:24" ht="12.75">
      <c r="D15">
        <v>22.9695</v>
      </c>
      <c r="E15">
        <v>143.1116</v>
      </c>
      <c r="F15">
        <f aca="true" t="shared" si="0" ref="F15:F34">LOG(E15)</f>
        <v>2.155674837196624</v>
      </c>
      <c r="H15">
        <v>2</v>
      </c>
      <c r="I15">
        <f aca="true" t="shared" si="1" ref="I15:I34">(H15-3/8)/21.25</f>
        <v>0.07647058823529412</v>
      </c>
      <c r="J15">
        <f aca="true" t="shared" si="2" ref="J15:J34">NORMSINV(I15)</f>
        <v>-1.4292197430548819</v>
      </c>
      <c r="K15">
        <v>291.471</v>
      </c>
      <c r="L15">
        <v>2.4645953509766683</v>
      </c>
      <c r="P15">
        <v>0.9567</v>
      </c>
      <c r="Q15">
        <v>22.0165</v>
      </c>
      <c r="R15">
        <f>LOG(Q15)</f>
        <v>1.342748279599349</v>
      </c>
      <c r="T15">
        <v>1</v>
      </c>
      <c r="U15">
        <f>(T15-3/8)/11.25</f>
        <v>0.05555555555555555</v>
      </c>
      <c r="V15">
        <f>NORMSINV(U15)</f>
        <v>-1.5932188162983398</v>
      </c>
      <c r="W15">
        <v>8.9433</v>
      </c>
      <c r="X15">
        <v>0.9514977992594281</v>
      </c>
    </row>
    <row r="16" spans="4:24" ht="12.75">
      <c r="D16">
        <v>15.8899</v>
      </c>
      <c r="E16">
        <v>331.7978</v>
      </c>
      <c r="F16">
        <f t="shared" si="0"/>
        <v>2.520873502089102</v>
      </c>
      <c r="H16">
        <v>3</v>
      </c>
      <c r="I16">
        <f t="shared" si="1"/>
        <v>0.12352941176470589</v>
      </c>
      <c r="J16">
        <f t="shared" si="2"/>
        <v>-1.1575230826620126</v>
      </c>
      <c r="K16">
        <v>331.7978</v>
      </c>
      <c r="L16">
        <v>2.520873502089102</v>
      </c>
      <c r="P16">
        <v>27.6377</v>
      </c>
      <c r="Q16">
        <v>85.2823</v>
      </c>
      <c r="R16">
        <f aca="true" t="shared" si="3" ref="R16:R25">LOG(Q16)</f>
        <v>1.9308589044385802</v>
      </c>
      <c r="T16">
        <v>2</v>
      </c>
      <c r="U16">
        <f aca="true" t="shared" si="4" ref="U16:U25">(T16-3/8)/11.25</f>
        <v>0.14444444444444443</v>
      </c>
      <c r="V16">
        <f aca="true" t="shared" si="5" ref="V16:V25">NORMSINV(U16)</f>
        <v>-1.0605623672325217</v>
      </c>
      <c r="W16">
        <v>10.1639</v>
      </c>
      <c r="X16">
        <v>1.0070603834875569</v>
      </c>
    </row>
    <row r="17" spans="4:24" ht="12.75">
      <c r="D17">
        <v>29.8918</v>
      </c>
      <c r="E17">
        <v>348.5235</v>
      </c>
      <c r="F17">
        <f t="shared" si="0"/>
        <v>2.5422320667273945</v>
      </c>
      <c r="H17">
        <v>4</v>
      </c>
      <c r="I17">
        <f t="shared" si="1"/>
        <v>0.17058823529411765</v>
      </c>
      <c r="J17">
        <f t="shared" si="2"/>
        <v>-0.9518432238684977</v>
      </c>
      <c r="K17">
        <v>346.7692</v>
      </c>
      <c r="L17">
        <v>2.540040516531784</v>
      </c>
      <c r="O17" t="s">
        <v>1090</v>
      </c>
      <c r="P17">
        <v>15.5043</v>
      </c>
      <c r="Q17">
        <v>8.9433</v>
      </c>
      <c r="R17">
        <f t="shared" si="3"/>
        <v>0.9514977992594281</v>
      </c>
      <c r="T17">
        <v>3</v>
      </c>
      <c r="U17">
        <f t="shared" si="4"/>
        <v>0.23333333333333334</v>
      </c>
      <c r="V17">
        <f t="shared" si="5"/>
        <v>-0.7279130489829739</v>
      </c>
      <c r="W17">
        <v>15.9077</v>
      </c>
      <c r="X17">
        <v>1.2016073921220203</v>
      </c>
    </row>
    <row r="18" spans="4:24" ht="12.75">
      <c r="D18">
        <v>70.9538</v>
      </c>
      <c r="E18">
        <v>346.7692</v>
      </c>
      <c r="F18">
        <f t="shared" si="0"/>
        <v>2.540040516531784</v>
      </c>
      <c r="H18">
        <v>5</v>
      </c>
      <c r="I18">
        <f t="shared" si="1"/>
        <v>0.21764705882352942</v>
      </c>
      <c r="J18">
        <f t="shared" si="2"/>
        <v>-0.780164160582304</v>
      </c>
      <c r="K18">
        <v>348.5235</v>
      </c>
      <c r="L18">
        <v>2.5422320667273945</v>
      </c>
      <c r="O18" t="s">
        <v>1090</v>
      </c>
      <c r="P18">
        <v>24.7546</v>
      </c>
      <c r="Q18">
        <v>10.1639</v>
      </c>
      <c r="R18">
        <f t="shared" si="3"/>
        <v>1.0070603834875569</v>
      </c>
      <c r="T18">
        <v>4</v>
      </c>
      <c r="U18">
        <f t="shared" si="4"/>
        <v>0.32222222222222224</v>
      </c>
      <c r="V18">
        <f t="shared" si="5"/>
        <v>-0.46149373552580664</v>
      </c>
      <c r="W18">
        <v>21.5635</v>
      </c>
      <c r="X18">
        <v>1.3337192531436852</v>
      </c>
    </row>
    <row r="19" spans="4:24" ht="12.75">
      <c r="D19">
        <v>60.7276</v>
      </c>
      <c r="E19">
        <v>429.2143</v>
      </c>
      <c r="F19">
        <f t="shared" si="0"/>
        <v>2.632674182789801</v>
      </c>
      <c r="H19">
        <v>6</v>
      </c>
      <c r="I19">
        <f t="shared" si="1"/>
        <v>0.2647058823529412</v>
      </c>
      <c r="J19">
        <f t="shared" si="2"/>
        <v>-0.6289040282490339</v>
      </c>
      <c r="K19">
        <v>393.1686</v>
      </c>
      <c r="L19">
        <v>2.594578826069397</v>
      </c>
      <c r="P19">
        <v>29.6615</v>
      </c>
      <c r="Q19">
        <v>45.7517</v>
      </c>
      <c r="R19">
        <f t="shared" si="3"/>
        <v>1.6604072358211013</v>
      </c>
      <c r="T19">
        <v>5</v>
      </c>
      <c r="U19">
        <f t="shared" si="4"/>
        <v>0.4111111111111111</v>
      </c>
      <c r="V19">
        <f t="shared" si="5"/>
        <v>-0.22468781495583146</v>
      </c>
      <c r="W19">
        <v>22.0165</v>
      </c>
      <c r="X19">
        <v>1.342748279599349</v>
      </c>
    </row>
    <row r="20" spans="4:24" ht="12.75">
      <c r="D20">
        <v>47.8269</v>
      </c>
      <c r="E20">
        <v>419.5845</v>
      </c>
      <c r="F20">
        <f t="shared" si="0"/>
        <v>2.6228194364118815</v>
      </c>
      <c r="H20">
        <v>7</v>
      </c>
      <c r="I20">
        <f t="shared" si="1"/>
        <v>0.31176470588235294</v>
      </c>
      <c r="J20">
        <f t="shared" si="2"/>
        <v>-0.4908544238060619</v>
      </c>
      <c r="K20">
        <v>419.5845</v>
      </c>
      <c r="L20">
        <v>2.6228194364118815</v>
      </c>
      <c r="P20">
        <v>35.3987</v>
      </c>
      <c r="Q20">
        <v>15.9077</v>
      </c>
      <c r="R20">
        <f t="shared" si="3"/>
        <v>1.2016073921220203</v>
      </c>
      <c r="T20">
        <v>6</v>
      </c>
      <c r="U20">
        <f t="shared" si="4"/>
        <v>0.5</v>
      </c>
      <c r="V20">
        <f t="shared" si="5"/>
        <v>5.471417352459603E-10</v>
      </c>
      <c r="W20">
        <v>45.7517</v>
      </c>
      <c r="X20">
        <v>1.6604072358211013</v>
      </c>
    </row>
    <row r="21" spans="4:24" ht="12.75">
      <c r="D21">
        <v>53.9626</v>
      </c>
      <c r="E21">
        <v>551.8284</v>
      </c>
      <c r="F21">
        <f t="shared" si="0"/>
        <v>2.7418040478029986</v>
      </c>
      <c r="H21">
        <v>8</v>
      </c>
      <c r="I21">
        <f t="shared" si="1"/>
        <v>0.3588235294117647</v>
      </c>
      <c r="J21">
        <f t="shared" si="2"/>
        <v>-0.3616053823614632</v>
      </c>
      <c r="K21">
        <v>429.2143</v>
      </c>
      <c r="L21">
        <v>2.632674182789801</v>
      </c>
      <c r="P21">
        <v>44.767</v>
      </c>
      <c r="Q21">
        <v>98.7468</v>
      </c>
      <c r="R21">
        <f t="shared" si="3"/>
        <v>1.9945230307302961</v>
      </c>
      <c r="T21">
        <v>7</v>
      </c>
      <c r="U21">
        <f t="shared" si="4"/>
        <v>0.5888888888888889</v>
      </c>
      <c r="V21">
        <f t="shared" si="5"/>
        <v>0.22468781495583062</v>
      </c>
      <c r="W21">
        <v>57.8065</v>
      </c>
      <c r="X21">
        <v>1.7619766750194288</v>
      </c>
    </row>
    <row r="22" spans="4:24" ht="12.75">
      <c r="D22">
        <v>56.6372</v>
      </c>
      <c r="E22">
        <v>693.4607</v>
      </c>
      <c r="F22">
        <f t="shared" si="0"/>
        <v>2.841021853647567</v>
      </c>
      <c r="H22">
        <v>9</v>
      </c>
      <c r="I22">
        <f t="shared" si="1"/>
        <v>0.40588235294117647</v>
      </c>
      <c r="J22">
        <f t="shared" si="2"/>
        <v>-0.23815018369476632</v>
      </c>
      <c r="K22">
        <v>433.3145</v>
      </c>
      <c r="L22">
        <v>2.636803222070663</v>
      </c>
      <c r="P22">
        <v>48.0133</v>
      </c>
      <c r="Q22">
        <v>105.1983</v>
      </c>
      <c r="R22">
        <f t="shared" si="3"/>
        <v>2.022008721694292</v>
      </c>
      <c r="T22">
        <v>8</v>
      </c>
      <c r="U22">
        <f t="shared" si="4"/>
        <v>0.6777777777777778</v>
      </c>
      <c r="V22">
        <f t="shared" si="5"/>
        <v>0.46149373552580664</v>
      </c>
      <c r="W22">
        <v>85.2823</v>
      </c>
      <c r="X22">
        <v>1.9308589044385802</v>
      </c>
    </row>
    <row r="23" spans="4:24" ht="12.75">
      <c r="D23">
        <v>44.6804</v>
      </c>
      <c r="E23">
        <v>740.482</v>
      </c>
      <c r="F23">
        <f t="shared" si="0"/>
        <v>2.8695145059420524</v>
      </c>
      <c r="H23">
        <v>10</v>
      </c>
      <c r="I23">
        <f t="shared" si="1"/>
        <v>0.45294117647058824</v>
      </c>
      <c r="J23">
        <f t="shared" si="2"/>
        <v>-0.11823375585187429</v>
      </c>
      <c r="K23">
        <v>463.9512</v>
      </c>
      <c r="L23">
        <v>2.666472302353837</v>
      </c>
      <c r="P23">
        <v>71.434</v>
      </c>
      <c r="Q23">
        <v>152.2961</v>
      </c>
      <c r="R23">
        <f t="shared" si="3"/>
        <v>2.1826887820611507</v>
      </c>
      <c r="T23">
        <v>9</v>
      </c>
      <c r="U23">
        <f t="shared" si="4"/>
        <v>0.7666666666666667</v>
      </c>
      <c r="V23">
        <f t="shared" si="5"/>
        <v>0.7279130489829739</v>
      </c>
      <c r="W23">
        <v>98.7468</v>
      </c>
      <c r="X23">
        <v>1.9945230307302961</v>
      </c>
    </row>
    <row r="24" spans="4:24" ht="12.75">
      <c r="D24">
        <v>35.7129</v>
      </c>
      <c r="E24">
        <v>787.5474</v>
      </c>
      <c r="F24">
        <f t="shared" si="0"/>
        <v>2.896276702066641</v>
      </c>
      <c r="H24">
        <v>11</v>
      </c>
      <c r="I24">
        <f t="shared" si="1"/>
        <v>0.5</v>
      </c>
      <c r="J24">
        <f t="shared" si="2"/>
        <v>5.471417352459603E-10</v>
      </c>
      <c r="K24">
        <v>464.0556</v>
      </c>
      <c r="L24">
        <v>2.666570017896658</v>
      </c>
      <c r="P24">
        <v>60.8928</v>
      </c>
      <c r="Q24">
        <v>57.8065</v>
      </c>
      <c r="R24">
        <f t="shared" si="3"/>
        <v>1.7619766750194288</v>
      </c>
      <c r="T24">
        <v>10</v>
      </c>
      <c r="U24">
        <f t="shared" si="4"/>
        <v>0.8555555555555555</v>
      </c>
      <c r="V24">
        <f t="shared" si="5"/>
        <v>1.0605623672325213</v>
      </c>
      <c r="W24">
        <v>105.1983</v>
      </c>
      <c r="X24">
        <v>2.022008721694292</v>
      </c>
    </row>
    <row r="25" spans="4:24" ht="12.75">
      <c r="D25">
        <v>44.6804</v>
      </c>
      <c r="E25">
        <v>546.9717</v>
      </c>
      <c r="F25">
        <f t="shared" si="0"/>
        <v>2.7379648567689245</v>
      </c>
      <c r="H25">
        <v>12</v>
      </c>
      <c r="I25">
        <f t="shared" si="1"/>
        <v>0.5470588235294118</v>
      </c>
      <c r="J25">
        <f t="shared" si="2"/>
        <v>0.11823375585187429</v>
      </c>
      <c r="K25">
        <v>490.0839</v>
      </c>
      <c r="L25">
        <v>2.6902704355140403</v>
      </c>
      <c r="P25">
        <v>56.9098</v>
      </c>
      <c r="Q25">
        <v>21.5635</v>
      </c>
      <c r="R25">
        <f t="shared" si="3"/>
        <v>1.3337192531436852</v>
      </c>
      <c r="T25">
        <v>11</v>
      </c>
      <c r="U25">
        <f t="shared" si="4"/>
        <v>0.9444444444444444</v>
      </c>
      <c r="V25">
        <f t="shared" si="5"/>
        <v>1.5932188162983385</v>
      </c>
      <c r="W25">
        <v>152.2961</v>
      </c>
      <c r="X25">
        <v>2.1826887820611507</v>
      </c>
    </row>
    <row r="26" spans="4:12" ht="12.75">
      <c r="D26">
        <v>34.9263</v>
      </c>
      <c r="E26">
        <v>511.4296</v>
      </c>
      <c r="F26">
        <f t="shared" si="0"/>
        <v>2.7087858600701553</v>
      </c>
      <c r="H26">
        <v>13</v>
      </c>
      <c r="I26">
        <f t="shared" si="1"/>
        <v>0.5941176470588235</v>
      </c>
      <c r="J26">
        <f t="shared" si="2"/>
        <v>0.23815018369476632</v>
      </c>
      <c r="K26">
        <v>511.4296</v>
      </c>
      <c r="L26">
        <v>2.7087858600701553</v>
      </c>
    </row>
    <row r="27" spans="4:18" ht="12.75">
      <c r="D27">
        <v>29.7345</v>
      </c>
      <c r="E27">
        <v>556.1908</v>
      </c>
      <c r="F27">
        <f t="shared" si="0"/>
        <v>2.7452238008850656</v>
      </c>
      <c r="H27">
        <v>14</v>
      </c>
      <c r="I27">
        <f t="shared" si="1"/>
        <v>0.6411764705882353</v>
      </c>
      <c r="J27">
        <f t="shared" si="2"/>
        <v>0.3616053823614632</v>
      </c>
      <c r="K27">
        <v>546.9717</v>
      </c>
      <c r="L27">
        <v>2.7379648567689245</v>
      </c>
      <c r="P27" t="s">
        <v>134</v>
      </c>
      <c r="Q27">
        <f>AVERAGE(Q15:Q25)</f>
        <v>56.69787272727273</v>
      </c>
      <c r="R27">
        <f>AVERAGE(R15:R25)</f>
        <v>1.580826950670626</v>
      </c>
    </row>
    <row r="28" spans="4:18" ht="12.75">
      <c r="D28">
        <v>26.7453</v>
      </c>
      <c r="E28">
        <v>553.7868</v>
      </c>
      <c r="F28">
        <f t="shared" si="0"/>
        <v>2.7433425997384067</v>
      </c>
      <c r="H28">
        <v>15</v>
      </c>
      <c r="I28">
        <f t="shared" si="1"/>
        <v>0.6882352941176471</v>
      </c>
      <c r="J28">
        <f t="shared" si="2"/>
        <v>0.49085442380606126</v>
      </c>
      <c r="K28">
        <v>551.8284</v>
      </c>
      <c r="L28">
        <v>2.7418040478029986</v>
      </c>
      <c r="P28" t="s">
        <v>135</v>
      </c>
      <c r="Q28">
        <f>STDEV(Q5:Q25)</f>
        <v>47.69120653630166</v>
      </c>
      <c r="R28" s="1">
        <f>STDEV(R5:R25)</f>
        <v>0.4331868505292928</v>
      </c>
    </row>
    <row r="29" spans="4:18" ht="12.75">
      <c r="D29">
        <v>24.7001</v>
      </c>
      <c r="E29">
        <v>591.5148</v>
      </c>
      <c r="F29">
        <f t="shared" si="0"/>
        <v>2.7719656153678733</v>
      </c>
      <c r="H29">
        <v>16</v>
      </c>
      <c r="I29">
        <f t="shared" si="1"/>
        <v>0.7352941176470589</v>
      </c>
      <c r="J29">
        <f t="shared" si="2"/>
        <v>0.6289040282490339</v>
      </c>
      <c r="K29">
        <v>553.7868</v>
      </c>
      <c r="L29">
        <v>2.7433425997384067</v>
      </c>
      <c r="P29" t="s">
        <v>136</v>
      </c>
      <c r="Q29">
        <f>COUNT(Q15:Q25)</f>
        <v>11</v>
      </c>
      <c r="R29">
        <f>COUNT(R15:R25)</f>
        <v>11</v>
      </c>
    </row>
    <row r="30" spans="4:17" ht="12.75">
      <c r="D30">
        <v>27.6893</v>
      </c>
      <c r="E30">
        <v>490.0839</v>
      </c>
      <c r="F30">
        <f t="shared" si="0"/>
        <v>2.6902704355140403</v>
      </c>
      <c r="H30">
        <v>17</v>
      </c>
      <c r="I30">
        <f t="shared" si="1"/>
        <v>0.7823529411764706</v>
      </c>
      <c r="J30">
        <f t="shared" si="2"/>
        <v>0.780164160582304</v>
      </c>
      <c r="K30">
        <v>556.1908</v>
      </c>
      <c r="L30">
        <v>2.7452238008850656</v>
      </c>
      <c r="P30" t="s">
        <v>137</v>
      </c>
      <c r="Q30">
        <f>Q28/(Q29^0.5)</f>
        <v>14.379439807296142</v>
      </c>
    </row>
    <row r="31" spans="4:17" ht="12.75">
      <c r="D31">
        <v>22.9695</v>
      </c>
      <c r="E31">
        <v>464.0556</v>
      </c>
      <c r="F31">
        <f t="shared" si="0"/>
        <v>2.666570017896658</v>
      </c>
      <c r="H31">
        <v>18</v>
      </c>
      <c r="I31">
        <f t="shared" si="1"/>
        <v>0.8294117647058824</v>
      </c>
      <c r="J31">
        <f t="shared" si="2"/>
        <v>0.9518432238684977</v>
      </c>
      <c r="K31">
        <v>591.5148</v>
      </c>
      <c r="L31">
        <v>2.7719656153678733</v>
      </c>
      <c r="P31" t="s">
        <v>138</v>
      </c>
      <c r="Q31" s="1">
        <f>Q28/Q27</f>
        <v>0.841146311885548</v>
      </c>
    </row>
    <row r="32" spans="4:12" ht="12.75">
      <c r="D32">
        <v>18.7217</v>
      </c>
      <c r="E32">
        <v>433.3145</v>
      </c>
      <c r="F32">
        <f t="shared" si="0"/>
        <v>2.636803222070663</v>
      </c>
      <c r="H32">
        <v>19</v>
      </c>
      <c r="I32">
        <f t="shared" si="1"/>
        <v>0.8764705882352941</v>
      </c>
      <c r="J32">
        <f t="shared" si="2"/>
        <v>1.1575230826620118</v>
      </c>
      <c r="K32">
        <v>693.4607</v>
      </c>
      <c r="L32">
        <v>2.841021853647567</v>
      </c>
    </row>
    <row r="33" spans="4:12" ht="12.75">
      <c r="D33">
        <v>15.8899</v>
      </c>
      <c r="E33">
        <v>463.9512</v>
      </c>
      <c r="F33">
        <f t="shared" si="0"/>
        <v>2.666472302353837</v>
      </c>
      <c r="H33">
        <v>20</v>
      </c>
      <c r="I33">
        <f t="shared" si="1"/>
        <v>0.9235294117647059</v>
      </c>
      <c r="J33">
        <f t="shared" si="2"/>
        <v>1.4292197430548819</v>
      </c>
      <c r="K33">
        <v>740.482</v>
      </c>
      <c r="L33">
        <v>2.8695145059420524</v>
      </c>
    </row>
    <row r="34" spans="4:12" ht="12.75">
      <c r="D34">
        <v>16.8338</v>
      </c>
      <c r="E34">
        <v>393.1686</v>
      </c>
      <c r="F34">
        <f t="shared" si="0"/>
        <v>2.594578826069397</v>
      </c>
      <c r="H34">
        <v>21</v>
      </c>
      <c r="I34">
        <f t="shared" si="1"/>
        <v>0.9705882352941176</v>
      </c>
      <c r="J34">
        <f t="shared" si="2"/>
        <v>1.8895089737486215</v>
      </c>
      <c r="K34">
        <v>787.5474</v>
      </c>
      <c r="L34">
        <v>2.896276702066641</v>
      </c>
    </row>
    <row r="36" spans="4:6" ht="12.75">
      <c r="D36" t="s">
        <v>134</v>
      </c>
      <c r="E36">
        <f>AVERAGE(E14:E34)</f>
        <v>480.39323333333346</v>
      </c>
      <c r="F36">
        <f>AVERAGE(F14:F34)</f>
        <v>2.656643073281787</v>
      </c>
    </row>
    <row r="37" spans="4:6" ht="12.75">
      <c r="D37" t="s">
        <v>135</v>
      </c>
      <c r="E37">
        <f>STDEV(E14:E34)</f>
        <v>152.46560817598896</v>
      </c>
      <c r="F37" s="1">
        <f>STDEV(F14:F34)</f>
        <v>0.16159241939248578</v>
      </c>
    </row>
    <row r="38" spans="4:6" ht="12.75">
      <c r="D38" t="s">
        <v>136</v>
      </c>
      <c r="E38">
        <f>COUNT(E14:E34)</f>
        <v>21</v>
      </c>
      <c r="F38">
        <f>COUNT(F14:F34)</f>
        <v>21</v>
      </c>
    </row>
    <row r="39" spans="4:5" ht="12.75">
      <c r="D39" t="s">
        <v>137</v>
      </c>
      <c r="E39">
        <f>E37/(E38^0.5)</f>
        <v>33.27072334971178</v>
      </c>
    </row>
    <row r="40" spans="4:5" ht="12.75">
      <c r="D40" t="s">
        <v>138</v>
      </c>
      <c r="E40" s="1">
        <f>E37/E36</f>
        <v>0.31737667726513685</v>
      </c>
    </row>
  </sheetData>
  <printOptions/>
  <pageMargins left="0.75" right="0.75" top="1" bottom="1" header="0.5" footer="0.5"/>
  <pageSetup orientation="portrait" paperSize="9"/>
  <drawing r:id="rId1"/>
</worksheet>
</file>

<file path=xl/worksheets/sheet39.xml><?xml version="1.0" encoding="utf-8"?>
<worksheet xmlns="http://schemas.openxmlformats.org/spreadsheetml/2006/main" xmlns:r="http://schemas.openxmlformats.org/officeDocument/2006/relationships">
  <dimension ref="A1:R33"/>
  <sheetViews>
    <sheetView workbookViewId="0" topLeftCell="C1">
      <selection activeCell="I2" sqref="I2"/>
    </sheetView>
  </sheetViews>
  <sheetFormatPr defaultColWidth="9.140625" defaultRowHeight="12.75"/>
  <cols>
    <col min="1" max="2" width="8.8515625" style="0" customWidth="1"/>
    <col min="3" max="3" width="23.28125" style="0" customWidth="1"/>
    <col min="4" max="4" width="7.00390625" style="0" customWidth="1"/>
    <col min="5" max="5" width="13.8515625" style="0" customWidth="1"/>
    <col min="6" max="6" width="12.8515625" style="0" customWidth="1"/>
    <col min="7" max="7" width="25.421875" style="0" customWidth="1"/>
    <col min="8" max="8" width="22.421875" style="0" customWidth="1"/>
    <col min="9" max="11" width="8.8515625" style="0" customWidth="1"/>
    <col min="12" max="12" width="17.421875" style="0" customWidth="1"/>
    <col min="13" max="13" width="14.7109375" style="0" customWidth="1"/>
    <col min="14" max="14" width="14.8515625" style="0" customWidth="1"/>
    <col min="15" max="16384" width="8.8515625" style="0" customWidth="1"/>
  </cols>
  <sheetData>
    <row r="1" spans="1:17" ht="63.75">
      <c r="A1" s="7" t="s">
        <v>69</v>
      </c>
      <c r="B1" s="7" t="s">
        <v>57</v>
      </c>
      <c r="C1" s="7" t="s">
        <v>58</v>
      </c>
      <c r="D1" s="7" t="s">
        <v>59</v>
      </c>
      <c r="E1" s="7" t="s">
        <v>60</v>
      </c>
      <c r="F1" s="7" t="s">
        <v>92</v>
      </c>
      <c r="G1" s="7" t="s">
        <v>61</v>
      </c>
      <c r="H1" s="7" t="s">
        <v>62</v>
      </c>
      <c r="I1" s="7" t="s">
        <v>63</v>
      </c>
      <c r="J1" s="8" t="s">
        <v>64</v>
      </c>
      <c r="K1" s="8" t="s">
        <v>138</v>
      </c>
      <c r="L1" s="7" t="s">
        <v>1126</v>
      </c>
      <c r="M1" s="7" t="s">
        <v>1127</v>
      </c>
      <c r="N1" s="7" t="s">
        <v>66</v>
      </c>
      <c r="O1" s="7" t="s">
        <v>85</v>
      </c>
      <c r="P1" s="7" t="s">
        <v>67</v>
      </c>
      <c r="Q1" s="7" t="s">
        <v>68</v>
      </c>
    </row>
    <row r="2" spans="2:16" ht="12.75">
      <c r="B2" t="s">
        <v>32</v>
      </c>
      <c r="D2" t="s">
        <v>33</v>
      </c>
      <c r="E2" t="s">
        <v>933</v>
      </c>
      <c r="F2" t="s">
        <v>927</v>
      </c>
      <c r="G2" t="s">
        <v>930</v>
      </c>
      <c r="H2" t="s">
        <v>94</v>
      </c>
      <c r="I2" t="s">
        <v>934</v>
      </c>
      <c r="J2">
        <v>0.24485868856207743</v>
      </c>
      <c r="K2">
        <v>0.526466862756008</v>
      </c>
      <c r="L2" t="s">
        <v>931</v>
      </c>
      <c r="N2" t="s">
        <v>95</v>
      </c>
      <c r="O2">
        <v>0.9553</v>
      </c>
      <c r="P2">
        <v>14</v>
      </c>
    </row>
    <row r="6" ht="12.75">
      <c r="A6" t="s">
        <v>8</v>
      </c>
    </row>
    <row r="7" ht="12.75">
      <c r="C7" t="s">
        <v>9</v>
      </c>
    </row>
    <row r="8" ht="12.75">
      <c r="C8" t="s">
        <v>29</v>
      </c>
    </row>
    <row r="9" ht="12.75">
      <c r="C9" s="1" t="s">
        <v>10</v>
      </c>
    </row>
    <row r="11" spans="2:13" ht="12.75">
      <c r="B11" t="s">
        <v>11</v>
      </c>
      <c r="M11" t="s">
        <v>25</v>
      </c>
    </row>
    <row r="12" spans="2:14" ht="12.75">
      <c r="B12" t="s">
        <v>31</v>
      </c>
      <c r="J12" t="s">
        <v>1052</v>
      </c>
      <c r="N12" t="s">
        <v>28</v>
      </c>
    </row>
    <row r="13" spans="2:18" ht="12.75">
      <c r="B13" t="s">
        <v>26</v>
      </c>
      <c r="C13" t="s">
        <v>27</v>
      </c>
      <c r="E13" t="s">
        <v>928</v>
      </c>
      <c r="H13" t="s">
        <v>99</v>
      </c>
      <c r="I13" t="s">
        <v>190</v>
      </c>
      <c r="J13" t="s">
        <v>27</v>
      </c>
      <c r="K13" t="s">
        <v>928</v>
      </c>
      <c r="O13" t="s">
        <v>26</v>
      </c>
      <c r="P13" t="s">
        <v>27</v>
      </c>
      <c r="R13" t="s">
        <v>929</v>
      </c>
    </row>
    <row r="14" spans="2:18" ht="12.75">
      <c r="B14" t="s">
        <v>12</v>
      </c>
      <c r="C14">
        <v>1.8283</v>
      </c>
      <c r="E14">
        <f>LOG(C14)</f>
        <v>0.2620474592614252</v>
      </c>
      <c r="G14">
        <v>1</v>
      </c>
      <c r="H14">
        <f>(G14-3/8)/14.25</f>
        <v>0.043859649122807015</v>
      </c>
      <c r="I14">
        <f>NORMSINV(H14)</f>
        <v>-1.7075527386738547</v>
      </c>
      <c r="J14">
        <v>1.5093</v>
      </c>
      <c r="K14">
        <v>0.17877557204541064</v>
      </c>
      <c r="O14" t="s">
        <v>12</v>
      </c>
      <c r="P14">
        <v>19.7183</v>
      </c>
      <c r="R14">
        <f>LOG(P14)</f>
        <v>1.2948694698118675</v>
      </c>
    </row>
    <row r="15" spans="2:18" ht="12.75">
      <c r="B15" t="s">
        <v>13</v>
      </c>
      <c r="C15">
        <v>4.1989</v>
      </c>
      <c r="E15">
        <f aca="true" t="shared" si="0" ref="E15:E27">LOG(C15)</f>
        <v>0.6231355317073993</v>
      </c>
      <c r="G15">
        <v>2</v>
      </c>
      <c r="H15">
        <f aca="true" t="shared" si="1" ref="H15:H27">(G15-3/8)/14.25</f>
        <v>0.11403508771929824</v>
      </c>
      <c r="I15">
        <f aca="true" t="shared" si="2" ref="I15:I27">NORMSINV(H15)</f>
        <v>-1.2053452415532084</v>
      </c>
      <c r="J15">
        <v>1.8283</v>
      </c>
      <c r="K15">
        <v>0.2620474592614252</v>
      </c>
      <c r="O15" t="s">
        <v>13</v>
      </c>
      <c r="P15">
        <v>36.4068</v>
      </c>
      <c r="R15">
        <f aca="true" t="shared" si="3" ref="R15:R27">LOG(P15)</f>
        <v>1.5611825080079216</v>
      </c>
    </row>
    <row r="16" spans="2:18" ht="12.75">
      <c r="B16" t="s">
        <v>14</v>
      </c>
      <c r="C16">
        <v>2.5229</v>
      </c>
      <c r="E16">
        <f t="shared" si="0"/>
        <v>0.40190003676058533</v>
      </c>
      <c r="G16">
        <v>3</v>
      </c>
      <c r="H16">
        <f t="shared" si="1"/>
        <v>0.18421052631578946</v>
      </c>
      <c r="I16">
        <f t="shared" si="2"/>
        <v>-0.8994347806021585</v>
      </c>
      <c r="J16">
        <v>2.5229</v>
      </c>
      <c r="K16">
        <v>0.40190003676058533</v>
      </c>
      <c r="O16" t="s">
        <v>14</v>
      </c>
      <c r="P16">
        <v>22.9339</v>
      </c>
      <c r="R16">
        <f t="shared" si="3"/>
        <v>1.3604779144969237</v>
      </c>
    </row>
    <row r="17" spans="2:18" ht="12.75">
      <c r="B17" t="s">
        <v>15</v>
      </c>
      <c r="C17">
        <v>2.7575</v>
      </c>
      <c r="E17">
        <f t="shared" si="0"/>
        <v>0.4405155211122282</v>
      </c>
      <c r="G17">
        <v>4</v>
      </c>
      <c r="H17">
        <f t="shared" si="1"/>
        <v>0.2543859649122807</v>
      </c>
      <c r="I17">
        <f t="shared" si="2"/>
        <v>-0.6607509113210428</v>
      </c>
      <c r="J17">
        <v>2.7575</v>
      </c>
      <c r="K17">
        <v>0.4405155211122282</v>
      </c>
      <c r="O17" t="s">
        <v>15</v>
      </c>
      <c r="P17">
        <v>28.0214</v>
      </c>
      <c r="R17">
        <f t="shared" si="3"/>
        <v>1.4474898296323295</v>
      </c>
    </row>
    <row r="18" spans="2:18" ht="12.75">
      <c r="B18" t="s">
        <v>16</v>
      </c>
      <c r="C18">
        <v>2.8244</v>
      </c>
      <c r="E18">
        <f t="shared" si="0"/>
        <v>0.4509262028227417</v>
      </c>
      <c r="G18">
        <v>5</v>
      </c>
      <c r="H18">
        <f t="shared" si="1"/>
        <v>0.32456140350877194</v>
      </c>
      <c r="I18">
        <f t="shared" si="2"/>
        <v>-0.45498119117774516</v>
      </c>
      <c r="J18">
        <v>2.792</v>
      </c>
      <c r="K18">
        <v>0.44591541395112344</v>
      </c>
      <c r="O18" t="s">
        <v>16</v>
      </c>
      <c r="P18">
        <v>24.2915</v>
      </c>
      <c r="R18">
        <f t="shared" si="3"/>
        <v>1.3854543333151832</v>
      </c>
    </row>
    <row r="19" spans="2:18" ht="12.75">
      <c r="B19" t="s">
        <v>17</v>
      </c>
      <c r="C19">
        <v>5.1387</v>
      </c>
      <c r="E19">
        <f t="shared" si="0"/>
        <v>0.7108532640857085</v>
      </c>
      <c r="G19">
        <v>6</v>
      </c>
      <c r="H19">
        <f t="shared" si="1"/>
        <v>0.39473684210526316</v>
      </c>
      <c r="I19">
        <f t="shared" si="2"/>
        <v>-0.2669942766020923</v>
      </c>
      <c r="J19">
        <v>2.8244</v>
      </c>
      <c r="K19">
        <v>0.4509262028227417</v>
      </c>
      <c r="O19" t="s">
        <v>17</v>
      </c>
      <c r="P19">
        <v>28.4514</v>
      </c>
      <c r="R19">
        <f t="shared" si="3"/>
        <v>1.4541036414627342</v>
      </c>
    </row>
    <row r="20" spans="2:18" ht="12.75">
      <c r="B20" t="s">
        <v>18</v>
      </c>
      <c r="C20">
        <v>5.8231</v>
      </c>
      <c r="E20">
        <f t="shared" si="0"/>
        <v>0.7651542483040208</v>
      </c>
      <c r="G20">
        <v>7</v>
      </c>
      <c r="H20">
        <f t="shared" si="1"/>
        <v>0.4649122807017544</v>
      </c>
      <c r="I20">
        <f t="shared" si="2"/>
        <v>-0.08806540723813083</v>
      </c>
      <c r="J20">
        <v>3.5389</v>
      </c>
      <c r="K20">
        <v>0.5488682907918564</v>
      </c>
      <c r="O20" t="s">
        <v>18</v>
      </c>
      <c r="P20">
        <v>42.8201</v>
      </c>
      <c r="R20">
        <f t="shared" si="3"/>
        <v>1.6316476771900281</v>
      </c>
    </row>
    <row r="21" spans="2:18" ht="12.75">
      <c r="B21" t="s">
        <v>30</v>
      </c>
      <c r="C21">
        <v>8.6431</v>
      </c>
      <c r="E21">
        <f t="shared" si="0"/>
        <v>0.9366695377827842</v>
      </c>
      <c r="G21">
        <v>8</v>
      </c>
      <c r="H21">
        <f t="shared" si="1"/>
        <v>0.5350877192982456</v>
      </c>
      <c r="I21">
        <f t="shared" si="2"/>
        <v>0.08806540723813083</v>
      </c>
      <c r="J21">
        <v>4.1989</v>
      </c>
      <c r="K21">
        <v>0.6231355317073993</v>
      </c>
      <c r="O21" t="s">
        <v>30</v>
      </c>
      <c r="P21">
        <v>60.9018</v>
      </c>
      <c r="R21">
        <f t="shared" si="3"/>
        <v>1.7846301287332857</v>
      </c>
    </row>
    <row r="22" spans="2:18" ht="12.75">
      <c r="B22" t="s">
        <v>19</v>
      </c>
      <c r="C22">
        <v>3.5389</v>
      </c>
      <c r="E22">
        <f t="shared" si="0"/>
        <v>0.5488682907918564</v>
      </c>
      <c r="G22">
        <v>9</v>
      </c>
      <c r="H22">
        <f t="shared" si="1"/>
        <v>0.6052631578947368</v>
      </c>
      <c r="I22">
        <f t="shared" si="2"/>
        <v>0.2669942766020923</v>
      </c>
      <c r="J22">
        <v>5.1387</v>
      </c>
      <c r="K22">
        <v>0.7108532640857085</v>
      </c>
      <c r="O22" t="s">
        <v>19</v>
      </c>
      <c r="P22">
        <v>21.4419</v>
      </c>
      <c r="R22">
        <f t="shared" si="3"/>
        <v>1.3312632662331954</v>
      </c>
    </row>
    <row r="23" spans="2:18" ht="12.75">
      <c r="B23" t="s">
        <v>20</v>
      </c>
      <c r="C23">
        <v>7.483</v>
      </c>
      <c r="E23">
        <f t="shared" si="0"/>
        <v>0.8740757452230349</v>
      </c>
      <c r="G23">
        <v>10</v>
      </c>
      <c r="H23">
        <f t="shared" si="1"/>
        <v>0.6754385964912281</v>
      </c>
      <c r="I23">
        <f t="shared" si="2"/>
        <v>0.45498119117774516</v>
      </c>
      <c r="J23">
        <v>5.8231</v>
      </c>
      <c r="K23">
        <v>0.7651542483040208</v>
      </c>
      <c r="O23" t="s">
        <v>20</v>
      </c>
      <c r="P23">
        <v>72.9333</v>
      </c>
      <c r="R23">
        <f t="shared" si="3"/>
        <v>1.862925864452434</v>
      </c>
    </row>
    <row r="24" spans="2:18" ht="12.75">
      <c r="B24" t="s">
        <v>21</v>
      </c>
      <c r="C24">
        <v>7.6616</v>
      </c>
      <c r="E24">
        <f t="shared" si="0"/>
        <v>0.8843194744119444</v>
      </c>
      <c r="G24">
        <v>11</v>
      </c>
      <c r="H24">
        <f t="shared" si="1"/>
        <v>0.7456140350877193</v>
      </c>
      <c r="I24">
        <f t="shared" si="2"/>
        <v>0.6607509113210428</v>
      </c>
      <c r="J24">
        <v>7.1657</v>
      </c>
      <c r="K24">
        <v>0.855258621989195</v>
      </c>
      <c r="O24" t="s">
        <v>21</v>
      </c>
      <c r="P24">
        <v>54.82</v>
      </c>
      <c r="R24">
        <f t="shared" si="3"/>
        <v>1.7389390312034796</v>
      </c>
    </row>
    <row r="25" spans="2:18" ht="12.75">
      <c r="B25" t="s">
        <v>22</v>
      </c>
      <c r="C25">
        <v>7.1657</v>
      </c>
      <c r="E25">
        <f t="shared" si="0"/>
        <v>0.855258621989195</v>
      </c>
      <c r="G25">
        <v>12</v>
      </c>
      <c r="H25">
        <f t="shared" si="1"/>
        <v>0.8157894736842105</v>
      </c>
      <c r="I25">
        <f t="shared" si="2"/>
        <v>0.8994347806021585</v>
      </c>
      <c r="J25">
        <v>7.483</v>
      </c>
      <c r="K25">
        <v>0.8740757452230349</v>
      </c>
      <c r="O25" t="s">
        <v>22</v>
      </c>
      <c r="P25">
        <v>48.771</v>
      </c>
      <c r="R25">
        <f t="shared" si="3"/>
        <v>1.6881616604517158</v>
      </c>
    </row>
    <row r="26" spans="2:18" ht="12.75">
      <c r="B26" t="s">
        <v>23</v>
      </c>
      <c r="C26">
        <v>2.792</v>
      </c>
      <c r="E26">
        <f t="shared" si="0"/>
        <v>0.44591541395112344</v>
      </c>
      <c r="G26">
        <v>13</v>
      </c>
      <c r="H26">
        <f t="shared" si="1"/>
        <v>0.8859649122807017</v>
      </c>
      <c r="I26">
        <f t="shared" si="2"/>
        <v>1.2053452415532075</v>
      </c>
      <c r="J26">
        <v>7.6616</v>
      </c>
      <c r="K26">
        <v>0.8843194744119444</v>
      </c>
      <c r="O26" t="s">
        <v>23</v>
      </c>
      <c r="P26">
        <v>23.6963</v>
      </c>
      <c r="R26">
        <f t="shared" si="3"/>
        <v>1.3746805394688209</v>
      </c>
    </row>
    <row r="27" spans="2:18" ht="12.75">
      <c r="B27" t="s">
        <v>24</v>
      </c>
      <c r="C27">
        <v>1.5093</v>
      </c>
      <c r="E27">
        <f t="shared" si="0"/>
        <v>0.17877557204541064</v>
      </c>
      <c r="G27">
        <v>14</v>
      </c>
      <c r="H27">
        <f t="shared" si="1"/>
        <v>0.956140350877193</v>
      </c>
      <c r="I27">
        <f t="shared" si="2"/>
        <v>1.7075527386738538</v>
      </c>
      <c r="J27">
        <v>8.6431</v>
      </c>
      <c r="K27">
        <v>0.9366695377827842</v>
      </c>
      <c r="O27" t="s">
        <v>24</v>
      </c>
      <c r="P27">
        <v>14.8633</v>
      </c>
      <c r="R27">
        <f t="shared" si="3"/>
        <v>1.1721152436560294</v>
      </c>
    </row>
    <row r="29" spans="2:18" ht="12.75">
      <c r="B29" t="s">
        <v>134</v>
      </c>
      <c r="C29">
        <f>AVERAGE(C14:C27)</f>
        <v>4.563385714285714</v>
      </c>
      <c r="E29">
        <f>AVERAGE(E14:E27)</f>
        <v>0.598458208589247</v>
      </c>
      <c r="O29" t="s">
        <v>134</v>
      </c>
      <c r="P29">
        <f>AVERAGE(P14:P27)</f>
        <v>35.71935714285714</v>
      </c>
      <c r="R29">
        <f>AVERAGE(R14:R27)</f>
        <v>1.5062815077225675</v>
      </c>
    </row>
    <row r="30" spans="2:18" ht="12.75">
      <c r="B30" t="s">
        <v>135</v>
      </c>
      <c r="C30">
        <f>STDEV(C14:C27)</f>
        <v>2.4024713605455843</v>
      </c>
      <c r="E30" s="1">
        <f>STDEV(E14:E27)</f>
        <v>0.24485868856207743</v>
      </c>
      <c r="O30" t="s">
        <v>135</v>
      </c>
      <c r="P30">
        <f>STDEV(P14:P27)</f>
        <v>17.651890833680564</v>
      </c>
      <c r="R30" s="1">
        <f>STDEV(R14:R27)</f>
        <v>0.20698626635975</v>
      </c>
    </row>
    <row r="31" spans="2:18" ht="12.75">
      <c r="B31" t="s">
        <v>136</v>
      </c>
      <c r="C31">
        <f>COUNT(C14:C27)</f>
        <v>14</v>
      </c>
      <c r="E31">
        <f>COUNT(E14:E27)</f>
        <v>14</v>
      </c>
      <c r="O31" t="s">
        <v>136</v>
      </c>
      <c r="P31">
        <f>COUNT(P14:P27)</f>
        <v>14</v>
      </c>
      <c r="R31">
        <f>COUNT(R14:R27)</f>
        <v>14</v>
      </c>
    </row>
    <row r="32" spans="2:18" ht="12.75">
      <c r="B32" t="s">
        <v>137</v>
      </c>
      <c r="C32">
        <f>C30/(C31^0.5)</f>
        <v>0.6420874794784448</v>
      </c>
      <c r="E32">
        <f>E30/(E31^0.5)</f>
        <v>0.06544123719814836</v>
      </c>
      <c r="O32" t="s">
        <v>137</v>
      </c>
      <c r="P32">
        <f>P30/(P31^0.5)</f>
        <v>4.717666266312008</v>
      </c>
      <c r="R32">
        <f>R30/(R31^0.5)</f>
        <v>0.05531940660612266</v>
      </c>
    </row>
    <row r="33" spans="2:16" ht="12.75">
      <c r="B33" t="s">
        <v>138</v>
      </c>
      <c r="C33" s="1">
        <f>C30/C29</f>
        <v>0.526466862756008</v>
      </c>
      <c r="M33" s="1"/>
      <c r="O33" t="s">
        <v>138</v>
      </c>
      <c r="P33" s="1">
        <f>P30/P29</f>
        <v>0.4941827693898025</v>
      </c>
    </row>
  </sheetData>
  <printOptions/>
  <pageMargins left="0.75" right="0.75" top="1" bottom="1" header="0.5" footer="0.5"/>
  <pageSetup orientation="portrait"/>
  <drawing r:id="rId1"/>
</worksheet>
</file>

<file path=xl/worksheets/sheet4.xml><?xml version="1.0" encoding="utf-8"?>
<worksheet xmlns="http://schemas.openxmlformats.org/spreadsheetml/2006/main" xmlns:r="http://schemas.openxmlformats.org/officeDocument/2006/relationships">
  <dimension ref="A1:Z18"/>
  <sheetViews>
    <sheetView workbookViewId="0" topLeftCell="A1">
      <selection activeCell="J8" sqref="J8:J12"/>
    </sheetView>
  </sheetViews>
  <sheetFormatPr defaultColWidth="9.140625" defaultRowHeight="12.75"/>
  <cols>
    <col min="1" max="2" width="8.8515625" style="0" customWidth="1"/>
    <col min="3" max="3" width="15.421875" style="0" customWidth="1"/>
    <col min="4" max="4" width="16.28125" style="0" customWidth="1"/>
    <col min="5" max="10" width="8.8515625" style="0" customWidth="1"/>
    <col min="11" max="11" width="16.421875" style="0" customWidth="1"/>
    <col min="12" max="12" width="17.140625" style="0" customWidth="1"/>
    <col min="13" max="13" width="8.8515625" style="0" customWidth="1"/>
    <col min="14" max="14" width="18.421875" style="0" customWidth="1"/>
    <col min="15" max="16384" width="8.8515625" style="0" customWidth="1"/>
  </cols>
  <sheetData>
    <row r="1" spans="1:21" ht="63.75">
      <c r="A1" s="7" t="s">
        <v>69</v>
      </c>
      <c r="B1" s="7" t="s">
        <v>57</v>
      </c>
      <c r="C1" s="7" t="s">
        <v>58</v>
      </c>
      <c r="D1" s="7" t="s">
        <v>59</v>
      </c>
      <c r="E1" s="7" t="s">
        <v>60</v>
      </c>
      <c r="F1" s="7" t="s">
        <v>92</v>
      </c>
      <c r="G1" s="7" t="s">
        <v>61</v>
      </c>
      <c r="H1" s="7" t="s">
        <v>62</v>
      </c>
      <c r="I1" s="7" t="s">
        <v>63</v>
      </c>
      <c r="J1" s="8" t="s">
        <v>64</v>
      </c>
      <c r="K1" s="8" t="s">
        <v>138</v>
      </c>
      <c r="L1" s="7" t="s">
        <v>1126</v>
      </c>
      <c r="M1" s="7" t="s">
        <v>1127</v>
      </c>
      <c r="N1" s="7" t="s">
        <v>66</v>
      </c>
      <c r="O1" s="7" t="s">
        <v>85</v>
      </c>
      <c r="P1" s="7" t="s">
        <v>67</v>
      </c>
      <c r="Q1" s="7" t="s">
        <v>68</v>
      </c>
      <c r="R1" s="10"/>
      <c r="S1" s="10"/>
      <c r="T1" s="10"/>
      <c r="U1" s="10"/>
    </row>
    <row r="2" spans="1:16" ht="12.75">
      <c r="A2">
        <v>339</v>
      </c>
      <c r="B2" t="s">
        <v>724</v>
      </c>
      <c r="D2" t="s">
        <v>761</v>
      </c>
      <c r="E2" t="s">
        <v>760</v>
      </c>
      <c r="I2" t="s">
        <v>770</v>
      </c>
      <c r="J2">
        <v>0.18474816281414688</v>
      </c>
      <c r="K2">
        <v>0.46753045807994137</v>
      </c>
      <c r="L2" t="s">
        <v>87</v>
      </c>
      <c r="M2" t="s">
        <v>1128</v>
      </c>
      <c r="N2" t="s">
        <v>86</v>
      </c>
      <c r="O2">
        <v>0.8861</v>
      </c>
      <c r="P2">
        <v>5</v>
      </c>
    </row>
    <row r="3" spans="1:16" ht="12.75">
      <c r="A3">
        <v>339</v>
      </c>
      <c r="B3" t="s">
        <v>724</v>
      </c>
      <c r="D3" t="s">
        <v>761</v>
      </c>
      <c r="E3" t="s">
        <v>760</v>
      </c>
      <c r="I3" t="s">
        <v>771</v>
      </c>
      <c r="J3">
        <v>0.36967689842730084</v>
      </c>
      <c r="K3">
        <v>0.8730695179241738</v>
      </c>
      <c r="L3" t="s">
        <v>87</v>
      </c>
      <c r="M3" t="s">
        <v>1128</v>
      </c>
      <c r="N3" t="s">
        <v>86</v>
      </c>
      <c r="O3">
        <v>0.846</v>
      </c>
      <c r="P3">
        <v>5</v>
      </c>
    </row>
    <row r="4" spans="1:16" ht="12.75">
      <c r="A4">
        <v>339</v>
      </c>
      <c r="B4" t="s">
        <v>724</v>
      </c>
      <c r="D4" t="s">
        <v>761</v>
      </c>
      <c r="E4" t="s">
        <v>760</v>
      </c>
      <c r="I4" t="s">
        <v>772</v>
      </c>
      <c r="J4">
        <v>0.43865139156172744</v>
      </c>
      <c r="K4">
        <v>1.1220430414566396</v>
      </c>
      <c r="L4" t="s">
        <v>87</v>
      </c>
      <c r="M4" t="s">
        <v>1128</v>
      </c>
      <c r="N4" t="s">
        <v>86</v>
      </c>
      <c r="O4">
        <v>0.9396</v>
      </c>
      <c r="P4">
        <v>5</v>
      </c>
    </row>
    <row r="6" spans="2:25" ht="12.75">
      <c r="B6" s="46" t="s">
        <v>1105</v>
      </c>
      <c r="C6" s="52" t="s">
        <v>971</v>
      </c>
      <c r="D6" s="55" t="s">
        <v>970</v>
      </c>
      <c r="E6" s="47"/>
      <c r="F6" s="56"/>
      <c r="G6" s="52" t="s">
        <v>1129</v>
      </c>
      <c r="I6" s="52" t="s">
        <v>191</v>
      </c>
      <c r="J6" s="65" t="s">
        <v>767</v>
      </c>
      <c r="K6" s="47"/>
      <c r="M6" t="s">
        <v>768</v>
      </c>
      <c r="T6" s="52" t="s">
        <v>971</v>
      </c>
      <c r="U6" s="52" t="s">
        <v>970</v>
      </c>
      <c r="V6" s="52" t="s">
        <v>1129</v>
      </c>
      <c r="W6" s="52" t="s">
        <v>191</v>
      </c>
      <c r="X6" s="52" t="s">
        <v>767</v>
      </c>
      <c r="Y6" s="52" t="s">
        <v>768</v>
      </c>
    </row>
    <row r="7" spans="2:26" ht="13.5" thickBot="1">
      <c r="B7" s="48"/>
      <c r="C7" s="53" t="s">
        <v>1119</v>
      </c>
      <c r="D7" s="50" t="s">
        <v>766</v>
      </c>
      <c r="E7" s="49" t="s">
        <v>769</v>
      </c>
      <c r="F7" s="57"/>
      <c r="G7" s="59"/>
      <c r="I7" s="53" t="s">
        <v>1119</v>
      </c>
      <c r="J7" s="50" t="s">
        <v>766</v>
      </c>
      <c r="K7" s="53" t="s">
        <v>769</v>
      </c>
      <c r="L7" s="48"/>
      <c r="R7" t="s">
        <v>189</v>
      </c>
      <c r="S7" t="s">
        <v>190</v>
      </c>
      <c r="U7" s="53" t="s">
        <v>1119</v>
      </c>
      <c r="V7" s="59" t="s">
        <v>766</v>
      </c>
      <c r="W7" s="59"/>
      <c r="X7" s="59"/>
      <c r="Y7" s="59"/>
      <c r="Z7" s="59"/>
    </row>
    <row r="8" spans="2:26" ht="12.75">
      <c r="B8" s="23" t="s">
        <v>762</v>
      </c>
      <c r="C8" s="54">
        <v>7.8</v>
      </c>
      <c r="D8" s="51">
        <v>0.056</v>
      </c>
      <c r="E8" s="23">
        <f>D8*60</f>
        <v>3.36</v>
      </c>
      <c r="F8" s="58">
        <f>E8*1000</f>
        <v>3360</v>
      </c>
      <c r="G8" s="54">
        <v>0.0072</v>
      </c>
      <c r="I8" s="54">
        <f aca="true" t="shared" si="0" ref="I8:K12">LOG(C8)</f>
        <v>0.8920946026904804</v>
      </c>
      <c r="J8" s="54">
        <f t="shared" si="0"/>
        <v>-1.2518119729937995</v>
      </c>
      <c r="K8" s="54">
        <f t="shared" si="0"/>
        <v>0.526339277389844</v>
      </c>
      <c r="L8" s="23">
        <f>LOG(D8)</f>
        <v>-1.2518119729937995</v>
      </c>
      <c r="N8">
        <f>LOG(G8)</f>
        <v>-2.1426675035687315</v>
      </c>
      <c r="Q8">
        <v>1</v>
      </c>
      <c r="R8">
        <f>(Q8-3/8)/5.25</f>
        <v>0.11904761904761904</v>
      </c>
      <c r="S8">
        <f>NORMSINV(R8)</f>
        <v>-1.1797614123624593</v>
      </c>
      <c r="U8" s="54">
        <v>2.8</v>
      </c>
      <c r="V8" s="54">
        <v>0.045</v>
      </c>
      <c r="W8" s="54">
        <v>0.0072</v>
      </c>
      <c r="X8" s="54">
        <v>0.4471580313422192</v>
      </c>
      <c r="Y8" s="54">
        <v>-1.3467874862246563</v>
      </c>
      <c r="Z8" s="54">
        <v>-2.1426675035687315</v>
      </c>
    </row>
    <row r="9" spans="2:26" ht="12.75">
      <c r="B9" s="23" t="s">
        <v>763</v>
      </c>
      <c r="C9" s="54">
        <v>5.2</v>
      </c>
      <c r="D9" s="51">
        <v>0.18</v>
      </c>
      <c r="E9" s="23">
        <f>D9*60</f>
        <v>10.799999999999999</v>
      </c>
      <c r="F9" s="58">
        <f>E9*1000</f>
        <v>10799.999999999998</v>
      </c>
      <c r="G9" s="54">
        <v>0.034</v>
      </c>
      <c r="I9" s="54">
        <f t="shared" si="0"/>
        <v>0.7160033436347992</v>
      </c>
      <c r="J9" s="54">
        <f t="shared" si="0"/>
        <v>-0.744727494896694</v>
      </c>
      <c r="K9" s="54">
        <f t="shared" si="0"/>
        <v>1.0334237554869496</v>
      </c>
      <c r="L9" s="23">
        <f>LOG(D9)</f>
        <v>-0.744727494896694</v>
      </c>
      <c r="N9">
        <f>LOG(G9)</f>
        <v>-1.4685210829577449</v>
      </c>
      <c r="Q9">
        <v>2</v>
      </c>
      <c r="R9">
        <f>(Q9-3/8)/5.25</f>
        <v>0.30952380952380953</v>
      </c>
      <c r="S9">
        <f>NORMSINV(R9)</f>
        <v>-0.49720055769908633</v>
      </c>
      <c r="U9" s="54">
        <v>3.2</v>
      </c>
      <c r="V9" s="54">
        <v>0.05</v>
      </c>
      <c r="W9" s="54">
        <v>0.014</v>
      </c>
      <c r="X9" s="54">
        <v>0.505149978319906</v>
      </c>
      <c r="Y9" s="54">
        <v>-1.3010299956639813</v>
      </c>
      <c r="Z9" s="54">
        <v>-1.853871964321762</v>
      </c>
    </row>
    <row r="10" spans="2:26" ht="12.75">
      <c r="B10" s="23" t="s">
        <v>764</v>
      </c>
      <c r="C10" s="54">
        <v>2.8</v>
      </c>
      <c r="D10" s="51">
        <v>0.29</v>
      </c>
      <c r="E10" s="23">
        <f>D10*60</f>
        <v>17.4</v>
      </c>
      <c r="F10" s="58">
        <f>E10*1000</f>
        <v>17400</v>
      </c>
      <c r="G10" s="54">
        <v>0.1</v>
      </c>
      <c r="I10" s="54">
        <f t="shared" si="0"/>
        <v>0.4471580313422192</v>
      </c>
      <c r="J10" s="54">
        <f t="shared" si="0"/>
        <v>-0.5376020021010439</v>
      </c>
      <c r="K10" s="54">
        <f t="shared" si="0"/>
        <v>1.2405492482825997</v>
      </c>
      <c r="L10" s="23">
        <f>LOG(D10)</f>
        <v>-0.5376020021010439</v>
      </c>
      <c r="N10">
        <f>LOG(G10)</f>
        <v>-1</v>
      </c>
      <c r="Q10">
        <v>3</v>
      </c>
      <c r="R10">
        <f>(Q10-3/8)/5.25</f>
        <v>0.5</v>
      </c>
      <c r="S10">
        <f>NORMSINV(R10)</f>
        <v>5.471417352459603E-10</v>
      </c>
      <c r="U10" s="54">
        <v>3.3</v>
      </c>
      <c r="V10" s="54">
        <v>0.056</v>
      </c>
      <c r="W10" s="54">
        <v>0.015</v>
      </c>
      <c r="X10" s="54">
        <v>0.5185139398778874</v>
      </c>
      <c r="Y10" s="54">
        <v>-1.2518119729937995</v>
      </c>
      <c r="Z10" s="54">
        <v>-1.8239087409443189</v>
      </c>
    </row>
    <row r="11" spans="2:26" ht="12.75">
      <c r="B11" s="23" t="s">
        <v>24</v>
      </c>
      <c r="C11" s="54">
        <v>3.3</v>
      </c>
      <c r="D11" s="51">
        <v>0.05</v>
      </c>
      <c r="E11" s="23">
        <f>D11*60</f>
        <v>3</v>
      </c>
      <c r="F11" s="58">
        <f>E11*1000</f>
        <v>3000</v>
      </c>
      <c r="G11" s="54">
        <v>0.015</v>
      </c>
      <c r="I11" s="54">
        <f t="shared" si="0"/>
        <v>0.5185139398778874</v>
      </c>
      <c r="J11" s="54">
        <f t="shared" si="0"/>
        <v>-1.3010299956639813</v>
      </c>
      <c r="K11" s="54">
        <f t="shared" si="0"/>
        <v>0.47712125471966244</v>
      </c>
      <c r="L11" s="23">
        <f>LOG(D11)</f>
        <v>-1.3010299956639813</v>
      </c>
      <c r="N11">
        <f>LOG(G11)</f>
        <v>-1.8239087409443189</v>
      </c>
      <c r="Q11">
        <v>4</v>
      </c>
      <c r="R11">
        <f>(Q11-3/8)/5.25</f>
        <v>0.6904761904761905</v>
      </c>
      <c r="S11">
        <f>NORMSINV(R11)</f>
        <v>0.49720055769908567</v>
      </c>
      <c r="U11" s="54">
        <v>5.2</v>
      </c>
      <c r="V11" s="54">
        <v>0.18</v>
      </c>
      <c r="W11" s="54">
        <v>0.034</v>
      </c>
      <c r="X11" s="54">
        <v>0.7160033436347992</v>
      </c>
      <c r="Y11" s="54">
        <v>-0.744727494896694</v>
      </c>
      <c r="Z11" s="54">
        <v>-1.4685210829577449</v>
      </c>
    </row>
    <row r="12" spans="2:26" ht="12.75">
      <c r="B12" s="23" t="s">
        <v>765</v>
      </c>
      <c r="C12" s="54">
        <v>3.2</v>
      </c>
      <c r="D12" s="51">
        <v>0.045</v>
      </c>
      <c r="E12" s="23">
        <f>D12*60</f>
        <v>2.6999999999999997</v>
      </c>
      <c r="F12" s="58">
        <f>E12*1000</f>
        <v>2699.9999999999995</v>
      </c>
      <c r="G12" s="54">
        <v>0.014</v>
      </c>
      <c r="I12" s="54">
        <f t="shared" si="0"/>
        <v>0.505149978319906</v>
      </c>
      <c r="J12" s="54">
        <f t="shared" si="0"/>
        <v>-1.3467874862246563</v>
      </c>
      <c r="K12" s="54">
        <f t="shared" si="0"/>
        <v>0.43136376415898725</v>
      </c>
      <c r="L12" s="23">
        <f>LOG(D12)</f>
        <v>-1.3467874862246563</v>
      </c>
      <c r="N12">
        <f>LOG(G12)</f>
        <v>-1.853871964321762</v>
      </c>
      <c r="Q12">
        <v>5</v>
      </c>
      <c r="R12">
        <f>(Q12-3/8)/5.25</f>
        <v>0.8809523809523809</v>
      </c>
      <c r="S12">
        <f>NORMSINV(R12)</f>
        <v>1.1797614123624593</v>
      </c>
      <c r="U12" s="54">
        <v>7.8</v>
      </c>
      <c r="V12" s="54">
        <v>0.29</v>
      </c>
      <c r="W12" s="54">
        <v>0.1</v>
      </c>
      <c r="X12" s="54">
        <v>0.8920946026904804</v>
      </c>
      <c r="Y12" s="54">
        <v>-0.5376020021010439</v>
      </c>
      <c r="Z12" s="54">
        <v>-1</v>
      </c>
    </row>
    <row r="14" spans="2:14" ht="12.75">
      <c r="B14" t="s">
        <v>134</v>
      </c>
      <c r="C14">
        <f>AVERAGE(C8:C12)</f>
        <v>4.46</v>
      </c>
      <c r="D14">
        <f>AVERAGE(D8:D12)</f>
        <v>0.12420000000000002</v>
      </c>
      <c r="E14">
        <f>AVERAGE(E8:E12)</f>
        <v>7.452</v>
      </c>
      <c r="F14">
        <f>AVERAGE(F8:F12)</f>
        <v>7452</v>
      </c>
      <c r="G14">
        <f>AVERAGE(G8:G12)</f>
        <v>0.03404</v>
      </c>
      <c r="I14">
        <f>AVERAGE(I8:I12)</f>
        <v>0.6157839791730584</v>
      </c>
      <c r="K14">
        <f>AVERAGE(K8:K12)</f>
        <v>0.7417594600076087</v>
      </c>
      <c r="L14">
        <f>AVERAGE(L8:L12)</f>
        <v>-1.036391790376035</v>
      </c>
      <c r="N14">
        <f>AVERAGE(N8:N12)</f>
        <v>-1.6577938583585117</v>
      </c>
    </row>
    <row r="15" spans="2:14" ht="12.75">
      <c r="B15" t="s">
        <v>135</v>
      </c>
      <c r="C15">
        <f>STDEV(C8:C12)</f>
        <v>2.0851858430365384</v>
      </c>
      <c r="D15">
        <f>STDEV(D8:D12)</f>
        <v>0.1084352341261824</v>
      </c>
      <c r="E15">
        <f>STDEV(E8:E12)</f>
        <v>6.506114047570946</v>
      </c>
      <c r="F15">
        <f>STDEV(F8:F12)</f>
        <v>6506.114047570945</v>
      </c>
      <c r="G15">
        <f>STDEV(G8:G12)</f>
        <v>0.03819434513118401</v>
      </c>
      <c r="I15" s="1">
        <f>STDEV(I8:I12)</f>
        <v>0.18474816281414688</v>
      </c>
      <c r="J15" s="1"/>
      <c r="K15" s="1">
        <f>STDEV(K8:K12)</f>
        <v>0.36967689842730084</v>
      </c>
      <c r="L15" s="1">
        <f>STDEV(L8:L12)</f>
        <v>0.3696768984273018</v>
      </c>
      <c r="M15" s="1"/>
      <c r="N15" s="1">
        <f>STDEV(N8:N12)</f>
        <v>0.43865139156172744</v>
      </c>
    </row>
    <row r="16" spans="2:7" ht="12.75">
      <c r="B16" t="s">
        <v>136</v>
      </c>
      <c r="C16">
        <f>COUNT(D8:D13)</f>
        <v>5</v>
      </c>
      <c r="D16">
        <f>COUNT(D8:D12)</f>
        <v>5</v>
      </c>
      <c r="E16">
        <f>COUNT(E8:E12)</f>
        <v>5</v>
      </c>
      <c r="F16">
        <f>COUNT(F8:F12)</f>
        <v>5</v>
      </c>
      <c r="G16">
        <f>COUNT(G8:G12)</f>
        <v>5</v>
      </c>
    </row>
    <row r="17" spans="2:7" ht="12.75">
      <c r="B17" t="s">
        <v>137</v>
      </c>
      <c r="C17">
        <f>(C15/C16^0.5)</f>
        <v>0.9325234581499813</v>
      </c>
      <c r="D17">
        <f>(D15/D16^0.5)</f>
        <v>0.04849371093244977</v>
      </c>
      <c r="E17">
        <f>(E15/E16^0.5)</f>
        <v>2.9096226559469867</v>
      </c>
      <c r="F17">
        <f>(F15/F16^0.5)</f>
        <v>2909.622655946987</v>
      </c>
      <c r="G17">
        <f>(G15/G16^0.5)</f>
        <v>0.017081030413883116</v>
      </c>
    </row>
    <row r="18" spans="2:11" ht="12.75">
      <c r="B18" t="s">
        <v>138</v>
      </c>
      <c r="C18">
        <f>C15/C14</f>
        <v>0.46753045807994137</v>
      </c>
      <c r="D18">
        <f>D15/D14</f>
        <v>0.8730695179241738</v>
      </c>
      <c r="E18">
        <f>E15/E14</f>
        <v>0.8730695179241741</v>
      </c>
      <c r="F18">
        <f>F15/F14</f>
        <v>0.8730695179241741</v>
      </c>
      <c r="G18">
        <f>G15/G14</f>
        <v>1.1220430414566396</v>
      </c>
      <c r="I18" t="s">
        <v>396</v>
      </c>
      <c r="K18">
        <f>PEARSON(I8:I12,K8:K12)</f>
        <v>-0.19883592067549694</v>
      </c>
    </row>
  </sheetData>
  <printOptions/>
  <pageMargins left="0.75" right="0.75" top="1" bottom="1" header="0.5" footer="0.5"/>
  <pageSetup orientation="portrait"/>
  <drawing r:id="rId1"/>
</worksheet>
</file>

<file path=xl/worksheets/sheet40.xml><?xml version="1.0" encoding="utf-8"?>
<worksheet xmlns="http://schemas.openxmlformats.org/spreadsheetml/2006/main" xmlns:r="http://schemas.openxmlformats.org/officeDocument/2006/relationships">
  <dimension ref="A1:O15"/>
  <sheetViews>
    <sheetView workbookViewId="0" topLeftCell="A1">
      <pane xSplit="18765" topLeftCell="M1" activePane="topLeft" state="split"/>
      <selection pane="topLeft" activeCell="B4" sqref="B4"/>
      <selection pane="topRight" activeCell="M10" sqref="M10"/>
    </sheetView>
  </sheetViews>
  <sheetFormatPr defaultColWidth="9.140625" defaultRowHeight="12.75"/>
  <cols>
    <col min="1" max="2" width="8.8515625" style="0" customWidth="1"/>
    <col min="3" max="3" width="11.421875" style="0" customWidth="1"/>
    <col min="4" max="4" width="8.8515625" style="0" customWidth="1"/>
    <col min="5" max="6" width="12.421875" style="0" customWidth="1"/>
    <col min="7" max="7" width="19.8515625" style="0" customWidth="1"/>
    <col min="8" max="8" width="23.140625" style="0" customWidth="1"/>
    <col min="9" max="9" width="14.140625" style="0" customWidth="1"/>
    <col min="10" max="10" width="13.421875" style="0" customWidth="1"/>
    <col min="11" max="11" width="15.7109375" style="0" customWidth="1"/>
    <col min="12" max="13" width="15.140625" style="0" customWidth="1"/>
    <col min="14" max="14" width="17.421875" style="0" customWidth="1"/>
    <col min="15" max="15" width="21.140625" style="0" customWidth="1"/>
    <col min="16" max="16384" width="8.8515625" style="0" customWidth="1"/>
  </cols>
  <sheetData>
    <row r="1" spans="1:15" ht="38.25">
      <c r="A1" s="7" t="s">
        <v>69</v>
      </c>
      <c r="B1" s="7" t="s">
        <v>57</v>
      </c>
      <c r="C1" s="7" t="s">
        <v>58</v>
      </c>
      <c r="D1" s="7" t="s">
        <v>59</v>
      </c>
      <c r="E1" s="7" t="s">
        <v>60</v>
      </c>
      <c r="F1" s="7" t="s">
        <v>92</v>
      </c>
      <c r="G1" s="7" t="s">
        <v>61</v>
      </c>
      <c r="H1" s="7" t="s">
        <v>62</v>
      </c>
      <c r="I1" s="7" t="s">
        <v>63</v>
      </c>
      <c r="J1" s="8" t="s">
        <v>64</v>
      </c>
      <c r="K1" s="7" t="s">
        <v>65</v>
      </c>
      <c r="L1" s="7" t="s">
        <v>66</v>
      </c>
      <c r="M1" s="7" t="s">
        <v>85</v>
      </c>
      <c r="N1" s="7" t="s">
        <v>67</v>
      </c>
      <c r="O1" s="7" t="s">
        <v>68</v>
      </c>
    </row>
    <row r="2" spans="1:14" ht="12.75">
      <c r="A2">
        <v>21</v>
      </c>
      <c r="B2" t="s">
        <v>70</v>
      </c>
      <c r="D2" t="s">
        <v>88</v>
      </c>
      <c r="E2" t="s">
        <v>90</v>
      </c>
      <c r="F2" t="s">
        <v>89</v>
      </c>
      <c r="G2" t="s">
        <v>72</v>
      </c>
      <c r="H2" t="s">
        <v>73</v>
      </c>
      <c r="I2" t="s">
        <v>71</v>
      </c>
      <c r="J2">
        <v>0.124</v>
      </c>
      <c r="K2" t="s">
        <v>87</v>
      </c>
      <c r="L2" t="s">
        <v>86</v>
      </c>
      <c r="M2">
        <v>0.864</v>
      </c>
      <c r="N2">
        <v>5</v>
      </c>
    </row>
    <row r="4" ht="12.75">
      <c r="B4" s="1" t="s">
        <v>932</v>
      </c>
    </row>
    <row r="7" ht="12.75">
      <c r="B7" t="s">
        <v>76</v>
      </c>
    </row>
    <row r="8" ht="12.75">
      <c r="B8" t="s">
        <v>75</v>
      </c>
    </row>
    <row r="9" ht="12.75">
      <c r="B9" t="s">
        <v>74</v>
      </c>
    </row>
    <row r="10" spans="2:12" ht="12.75">
      <c r="B10" t="s">
        <v>177</v>
      </c>
      <c r="C10" t="s">
        <v>82</v>
      </c>
      <c r="H10" t="s">
        <v>83</v>
      </c>
      <c r="I10" t="s">
        <v>147</v>
      </c>
      <c r="J10" t="s">
        <v>148</v>
      </c>
      <c r="K10" t="s">
        <v>83</v>
      </c>
      <c r="L10" t="s">
        <v>84</v>
      </c>
    </row>
    <row r="11" spans="2:12" ht="12.75">
      <c r="B11" t="s">
        <v>77</v>
      </c>
      <c r="C11">
        <v>23</v>
      </c>
      <c r="G11">
        <v>1</v>
      </c>
      <c r="H11">
        <v>19</v>
      </c>
      <c r="I11">
        <f>(G11-3/8)/5.25</f>
        <v>0.11904761904761904</v>
      </c>
      <c r="J11">
        <f>NORMSINV(I11)</f>
        <v>-1.1797614123624593</v>
      </c>
      <c r="K11">
        <v>19</v>
      </c>
      <c r="L11">
        <f>LOG(K11)</f>
        <v>1.2787536009528289</v>
      </c>
    </row>
    <row r="12" spans="2:12" ht="12.75">
      <c r="B12" t="s">
        <v>78</v>
      </c>
      <c r="C12">
        <v>19</v>
      </c>
      <c r="G12">
        <v>2</v>
      </c>
      <c r="H12">
        <v>21</v>
      </c>
      <c r="I12">
        <f>(G12-3/8)/5.25</f>
        <v>0.30952380952380953</v>
      </c>
      <c r="J12">
        <f>NORMSINV(I12)</f>
        <v>-0.49720055769908633</v>
      </c>
      <c r="K12">
        <v>21</v>
      </c>
      <c r="L12">
        <f>LOG(K12)</f>
        <v>1.3222192947339193</v>
      </c>
    </row>
    <row r="13" spans="2:12" ht="12.75">
      <c r="B13" t="s">
        <v>79</v>
      </c>
      <c r="C13">
        <v>39</v>
      </c>
      <c r="G13">
        <v>3</v>
      </c>
      <c r="H13">
        <v>23</v>
      </c>
      <c r="I13">
        <f>(G13-3/8)/5.25</f>
        <v>0.5</v>
      </c>
      <c r="J13">
        <f>NORMSINV(I13)</f>
        <v>5.471417352459603E-10</v>
      </c>
      <c r="K13">
        <v>23</v>
      </c>
      <c r="L13">
        <f>LOG(K13)</f>
        <v>1.3617278360175928</v>
      </c>
    </row>
    <row r="14" spans="2:12" ht="12.75">
      <c r="B14" t="s">
        <v>80</v>
      </c>
      <c r="C14">
        <v>25</v>
      </c>
      <c r="G14">
        <v>4</v>
      </c>
      <c r="H14">
        <v>25</v>
      </c>
      <c r="I14">
        <f>(G14-3/8)/5.25</f>
        <v>0.6904761904761905</v>
      </c>
      <c r="J14">
        <f>NORMSINV(I14)</f>
        <v>0.49720055769908567</v>
      </c>
      <c r="K14">
        <v>25</v>
      </c>
      <c r="L14">
        <f>LOG(K14)</f>
        <v>1.3979400086720377</v>
      </c>
    </row>
    <row r="15" spans="2:12" ht="12.75">
      <c r="B15" t="s">
        <v>81</v>
      </c>
      <c r="C15">
        <v>21</v>
      </c>
      <c r="G15">
        <v>5</v>
      </c>
      <c r="H15">
        <v>39</v>
      </c>
      <c r="I15">
        <f>(G15-3/8)/5.25</f>
        <v>0.8809523809523809</v>
      </c>
      <c r="J15">
        <f>NORMSINV(I15)</f>
        <v>1.1797614123624593</v>
      </c>
      <c r="K15">
        <v>39</v>
      </c>
      <c r="L15">
        <f>LOG(K15)</f>
        <v>1.591064607026499</v>
      </c>
    </row>
  </sheetData>
  <printOptions/>
  <pageMargins left="0.75" right="0.75" top="1" bottom="1" header="0.5" footer="0.5"/>
  <pageSetup orientation="portrait" paperSize="9"/>
  <drawing r:id="rId1"/>
</worksheet>
</file>

<file path=xl/worksheets/sheet41.xml><?xml version="1.0" encoding="utf-8"?>
<worksheet xmlns="http://schemas.openxmlformats.org/spreadsheetml/2006/main" xmlns:r="http://schemas.openxmlformats.org/officeDocument/2006/relationships">
  <dimension ref="A1:L43"/>
  <sheetViews>
    <sheetView workbookViewId="0" topLeftCell="A9">
      <selection activeCell="I22" sqref="A1:I22"/>
    </sheetView>
  </sheetViews>
  <sheetFormatPr defaultColWidth="9.140625" defaultRowHeight="12.75"/>
  <cols>
    <col min="1" max="1" width="42.28125" style="10" customWidth="1"/>
    <col min="2" max="2" width="12.00390625" style="10" customWidth="1"/>
    <col min="3" max="3" width="5.140625" style="0" customWidth="1"/>
    <col min="4" max="4" width="1.7109375" style="0" customWidth="1"/>
    <col min="5" max="5" width="17.00390625" style="0" customWidth="1"/>
    <col min="6" max="6" width="11.421875" style="0" customWidth="1"/>
    <col min="7" max="7" width="8.8515625" style="0" customWidth="1"/>
    <col min="8" max="9" width="11.140625" style="0" customWidth="1"/>
    <col min="10" max="11" width="8.8515625" style="0" customWidth="1"/>
    <col min="12" max="12" width="18.00390625" style="0" customWidth="1"/>
    <col min="13" max="16384" width="8.8515625" style="0" customWidth="1"/>
  </cols>
  <sheetData>
    <row r="1" spans="1:12" s="10" customFormat="1" ht="21.75" customHeight="1">
      <c r="A1" s="66" t="s">
        <v>389</v>
      </c>
      <c r="B1" s="7" t="s">
        <v>397</v>
      </c>
      <c r="C1" s="7" t="s">
        <v>487</v>
      </c>
      <c r="D1" s="7"/>
      <c r="E1" s="7" t="s">
        <v>394</v>
      </c>
      <c r="F1" s="7" t="s">
        <v>392</v>
      </c>
      <c r="G1" s="7" t="s">
        <v>393</v>
      </c>
      <c r="H1" s="7" t="s">
        <v>491</v>
      </c>
      <c r="I1" s="7"/>
      <c r="J1" s="7" t="s">
        <v>390</v>
      </c>
      <c r="K1" s="10" t="s">
        <v>391</v>
      </c>
      <c r="L1" s="10" t="s">
        <v>400</v>
      </c>
    </row>
    <row r="2" spans="1:10" ht="21.75" customHeight="1">
      <c r="A2" s="66" t="s">
        <v>724</v>
      </c>
      <c r="B2" s="7" t="s">
        <v>816</v>
      </c>
      <c r="C2" s="66">
        <v>5</v>
      </c>
      <c r="D2" s="66"/>
      <c r="E2" s="66">
        <v>-0.1988359206754968</v>
      </c>
      <c r="F2" s="66">
        <v>-0.9197534227763776</v>
      </c>
      <c r="G2" s="66">
        <v>0.8288288072692973</v>
      </c>
      <c r="H2" s="66">
        <v>0.7485124601219767</v>
      </c>
      <c r="I2" s="66"/>
      <c r="J2" s="66"/>
    </row>
    <row r="3" spans="1:10" ht="21.75" customHeight="1">
      <c r="A3" s="67" t="s">
        <v>1055</v>
      </c>
      <c r="B3" s="7" t="s">
        <v>816</v>
      </c>
      <c r="C3" s="66">
        <v>7</v>
      </c>
      <c r="D3" s="66"/>
      <c r="E3" s="66">
        <v>-0.06288019310363802</v>
      </c>
      <c r="F3" s="66">
        <v>-0.7790484219366746</v>
      </c>
      <c r="G3" s="66">
        <v>0.7244839578125486</v>
      </c>
      <c r="H3" s="66">
        <v>0.8934621814250361</v>
      </c>
      <c r="I3" s="66"/>
      <c r="J3" s="66"/>
    </row>
    <row r="4" spans="1:10" ht="21.75" customHeight="1">
      <c r="A4" s="66" t="s">
        <v>174</v>
      </c>
      <c r="B4" s="7" t="s">
        <v>816</v>
      </c>
      <c r="C4" s="66">
        <v>6</v>
      </c>
      <c r="D4" s="66"/>
      <c r="E4" s="66">
        <v>0.21831029729141718</v>
      </c>
      <c r="F4" s="66">
        <v>-0.7209903800409934</v>
      </c>
      <c r="G4" s="66">
        <v>0.8748690810484788</v>
      </c>
      <c r="H4" s="66">
        <v>0.6777368214155304</v>
      </c>
      <c r="I4" s="66"/>
      <c r="J4" s="66"/>
    </row>
    <row r="5" spans="1:10" ht="21.75" customHeight="1">
      <c r="A5" s="66" t="s">
        <v>509</v>
      </c>
      <c r="B5" s="7" t="s">
        <v>816</v>
      </c>
      <c r="C5" s="66">
        <v>8</v>
      </c>
      <c r="D5" s="66"/>
      <c r="E5" s="66">
        <v>0.30474847814888734</v>
      </c>
      <c r="F5" s="66">
        <v>-0.5092943466940264</v>
      </c>
      <c r="G5" s="66"/>
      <c r="H5" s="66">
        <v>0.4629890283084732</v>
      </c>
      <c r="I5" s="66"/>
      <c r="J5" s="66"/>
    </row>
    <row r="6" spans="1:10" ht="21.75" customHeight="1">
      <c r="A6" s="66" t="s">
        <v>621</v>
      </c>
      <c r="B6" s="68" t="s">
        <v>816</v>
      </c>
      <c r="C6" s="66">
        <v>6</v>
      </c>
      <c r="D6" s="66"/>
      <c r="E6" s="66">
        <v>0.5367275331303708</v>
      </c>
      <c r="F6" s="66">
        <v>-0.4869374695855226</v>
      </c>
      <c r="G6" s="66">
        <v>0.9391897029544908</v>
      </c>
      <c r="H6" s="66">
        <v>0.2722179800951039</v>
      </c>
      <c r="I6" s="66"/>
      <c r="J6" s="66"/>
    </row>
    <row r="7" spans="1:10" ht="21.75" customHeight="1">
      <c r="A7" s="66" t="s">
        <v>723</v>
      </c>
      <c r="B7" s="7" t="s">
        <v>816</v>
      </c>
      <c r="C7" s="66">
        <v>6</v>
      </c>
      <c r="D7" s="66"/>
      <c r="E7" s="66">
        <v>0.5943607524391705</v>
      </c>
      <c r="F7" s="66">
        <v>-0.41959770027397</v>
      </c>
      <c r="G7" s="66">
        <v>0.9484348282869595</v>
      </c>
      <c r="H7" s="66">
        <v>0.21344220899296862</v>
      </c>
      <c r="I7" s="66"/>
      <c r="J7" s="66"/>
    </row>
    <row r="8" spans="1:10" ht="21.75" customHeight="1">
      <c r="A8" s="67" t="s">
        <v>683</v>
      </c>
      <c r="B8" s="68" t="s">
        <v>816</v>
      </c>
      <c r="C8" s="66">
        <v>6</v>
      </c>
      <c r="D8" s="66"/>
      <c r="E8" s="66">
        <v>0.898626539180286</v>
      </c>
      <c r="F8" s="66">
        <v>0.3216188833564827</v>
      </c>
      <c r="G8" s="66">
        <v>0.9889534527014023</v>
      </c>
      <c r="H8" s="66">
        <v>0.01489398167091549</v>
      </c>
      <c r="I8" s="66"/>
      <c r="J8" s="66"/>
    </row>
    <row r="9" spans="1:10" ht="21.75" customHeight="1">
      <c r="A9" s="67" t="s">
        <v>1058</v>
      </c>
      <c r="B9" s="7" t="s">
        <v>816</v>
      </c>
      <c r="C9" s="66">
        <v>5</v>
      </c>
      <c r="D9" s="66"/>
      <c r="E9" s="66">
        <v>0.9474136932800579</v>
      </c>
      <c r="F9" s="66">
        <v>0.3969280356478419</v>
      </c>
      <c r="G9" s="66">
        <v>0.9966276636818302</v>
      </c>
      <c r="H9" s="66">
        <v>0.014361083535802122</v>
      </c>
      <c r="I9" s="66"/>
      <c r="J9" s="66"/>
    </row>
    <row r="10" spans="1:10" ht="21.75" customHeight="1">
      <c r="A10" s="66" t="s">
        <v>470</v>
      </c>
      <c r="B10" s="7" t="s">
        <v>816</v>
      </c>
      <c r="C10" s="66">
        <v>15</v>
      </c>
      <c r="D10" s="66"/>
      <c r="E10" s="66">
        <v>0.9730703923055483</v>
      </c>
      <c r="F10" s="66">
        <v>0.9187995475692095</v>
      </c>
      <c r="G10" s="66">
        <v>0.9912346654459896</v>
      </c>
      <c r="H10" s="66">
        <v>1.1528973331564885E-09</v>
      </c>
      <c r="I10" s="66"/>
      <c r="J10" s="66"/>
    </row>
    <row r="11" spans="1:10" ht="21.75" customHeight="1">
      <c r="A11" s="66" t="s">
        <v>609</v>
      </c>
      <c r="B11" s="68" t="s">
        <v>816</v>
      </c>
      <c r="C11" s="66">
        <v>5</v>
      </c>
      <c r="D11" s="66"/>
      <c r="E11" s="66">
        <v>0.9814588536680804</v>
      </c>
      <c r="F11" s="66">
        <v>0.7397352553545531</v>
      </c>
      <c r="G11" s="66">
        <v>0.9988301053634343</v>
      </c>
      <c r="H11" s="66">
        <v>0.0030222277357834226</v>
      </c>
      <c r="I11" s="66"/>
      <c r="J11" s="66"/>
    </row>
    <row r="12" spans="1:10" ht="21.75" customHeight="1">
      <c r="A12" s="66" t="s">
        <v>724</v>
      </c>
      <c r="B12" s="7" t="s">
        <v>398</v>
      </c>
      <c r="C12" s="66">
        <v>5</v>
      </c>
      <c r="D12" s="66"/>
      <c r="E12" s="66">
        <v>-0.30500962992196157</v>
      </c>
      <c r="F12" s="66">
        <v>-0.9355261709585708</v>
      </c>
      <c r="G12" s="66">
        <v>0.7897887094866644</v>
      </c>
      <c r="H12" s="66">
        <v>0.6177580580332711</v>
      </c>
      <c r="I12" s="66"/>
      <c r="J12" s="66"/>
    </row>
    <row r="13" spans="1:10" ht="21.75" customHeight="1">
      <c r="A13" s="67" t="s">
        <v>1055</v>
      </c>
      <c r="B13" s="7" t="s">
        <v>107</v>
      </c>
      <c r="C13" s="66">
        <v>7</v>
      </c>
      <c r="D13" s="66"/>
      <c r="E13" s="66">
        <v>-0.09039879032717435</v>
      </c>
      <c r="F13" s="66">
        <v>-0.7896977600439443</v>
      </c>
      <c r="G13" s="66">
        <v>0.7110654426944416</v>
      </c>
      <c r="H13" s="66">
        <v>0.8471605343170308</v>
      </c>
      <c r="I13" s="66"/>
      <c r="J13" s="66"/>
    </row>
    <row r="14" spans="1:10" ht="21.75" customHeight="1">
      <c r="A14" s="66" t="s">
        <v>174</v>
      </c>
      <c r="B14" s="7" t="s">
        <v>398</v>
      </c>
      <c r="C14" s="66">
        <v>6</v>
      </c>
      <c r="D14" s="66"/>
      <c r="E14" s="66">
        <v>0.03539328251836602</v>
      </c>
      <c r="F14" s="66">
        <v>-0.7991217876529485</v>
      </c>
      <c r="G14" s="69">
        <v>0.8233060339115711</v>
      </c>
      <c r="H14" s="66">
        <v>0.9469322445297279</v>
      </c>
      <c r="I14" s="66"/>
      <c r="J14" s="66"/>
    </row>
    <row r="15" spans="1:10" ht="21.75" customHeight="1">
      <c r="A15" s="66" t="s">
        <v>621</v>
      </c>
      <c r="B15" s="66" t="s">
        <v>398</v>
      </c>
      <c r="C15" s="66">
        <v>6</v>
      </c>
      <c r="D15" s="66"/>
      <c r="E15" s="66">
        <v>0.2321426266693155</v>
      </c>
      <c r="F15" s="66">
        <v>-0.7139196138868866</v>
      </c>
      <c r="G15" s="66">
        <v>0.878244414538046</v>
      </c>
      <c r="H15" s="66">
        <v>0.6580411661833949</v>
      </c>
      <c r="I15" s="66"/>
      <c r="J15" s="66"/>
    </row>
    <row r="16" spans="1:10" ht="21.75" customHeight="1">
      <c r="A16" s="66" t="s">
        <v>509</v>
      </c>
      <c r="B16" s="66" t="s">
        <v>398</v>
      </c>
      <c r="C16" s="66">
        <v>8</v>
      </c>
      <c r="D16" s="66"/>
      <c r="E16" s="66">
        <v>0.46002139663412417</v>
      </c>
      <c r="F16" s="66">
        <v>-0.3619986361122283</v>
      </c>
      <c r="G16" s="66">
        <v>0.8795691102041554</v>
      </c>
      <c r="H16" s="66">
        <v>0.2514214522661773</v>
      </c>
      <c r="I16" s="66"/>
      <c r="J16" s="66"/>
    </row>
    <row r="17" spans="1:10" ht="21.75" customHeight="1">
      <c r="A17" s="66" t="s">
        <v>470</v>
      </c>
      <c r="B17" s="7" t="s">
        <v>398</v>
      </c>
      <c r="C17" s="66">
        <v>15</v>
      </c>
      <c r="D17" s="66"/>
      <c r="E17" s="66">
        <v>0.46803028321420304</v>
      </c>
      <c r="F17" s="66">
        <v>-0.058181893055303045</v>
      </c>
      <c r="G17" s="66">
        <v>0.7907154875119591</v>
      </c>
      <c r="H17" s="66">
        <v>0.07850473372660538</v>
      </c>
      <c r="I17" s="66"/>
      <c r="J17" s="66"/>
    </row>
    <row r="18" spans="1:10" ht="21.75" customHeight="1">
      <c r="A18" s="66" t="s">
        <v>723</v>
      </c>
      <c r="B18" s="7" t="s">
        <v>398</v>
      </c>
      <c r="C18" s="66">
        <v>6</v>
      </c>
      <c r="D18" s="66"/>
      <c r="E18" s="66">
        <v>0.7226990125217995</v>
      </c>
      <c r="F18" s="66">
        <v>-0.21491015296830956</v>
      </c>
      <c r="G18" s="66">
        <v>0.9670634884269754</v>
      </c>
      <c r="H18" s="66">
        <v>0.10468211062703814</v>
      </c>
      <c r="I18" s="66"/>
      <c r="J18" s="66"/>
    </row>
    <row r="19" spans="1:10" ht="21.75" customHeight="1">
      <c r="A19" s="67" t="s">
        <v>1058</v>
      </c>
      <c r="B19" s="7" t="s">
        <v>398</v>
      </c>
      <c r="C19" s="66">
        <v>5</v>
      </c>
      <c r="D19" s="66"/>
      <c r="E19" s="66">
        <v>0.8640149811832615</v>
      </c>
      <c r="F19" s="66">
        <v>-0.0767806250462494</v>
      </c>
      <c r="G19" s="66">
        <v>0.9909152332441128</v>
      </c>
      <c r="H19" s="66">
        <v>0.058953203399221055</v>
      </c>
      <c r="I19" s="66"/>
      <c r="J19" s="66"/>
    </row>
    <row r="20" spans="1:10" ht="21.75" customHeight="1">
      <c r="A20" s="66" t="s">
        <v>609</v>
      </c>
      <c r="B20" s="66" t="s">
        <v>398</v>
      </c>
      <c r="C20" s="66">
        <v>5</v>
      </c>
      <c r="D20" s="66"/>
      <c r="E20" s="66">
        <v>0.9630934792286289</v>
      </c>
      <c r="F20" s="66">
        <v>0.5377896109600718</v>
      </c>
      <c r="G20" s="66">
        <v>0.9976509023751692</v>
      </c>
      <c r="H20" s="66">
        <v>0.00846388135797671</v>
      </c>
      <c r="I20" s="66"/>
      <c r="J20" s="66"/>
    </row>
    <row r="21" spans="1:10" ht="21.75" customHeight="1">
      <c r="A21" s="67" t="s">
        <v>683</v>
      </c>
      <c r="B21" s="68" t="s">
        <v>398</v>
      </c>
      <c r="C21" s="66">
        <v>6</v>
      </c>
      <c r="D21" s="66"/>
      <c r="E21" s="66">
        <v>0.9967430161731522</v>
      </c>
      <c r="F21" s="66">
        <v>0.9691220225059154</v>
      </c>
      <c r="G21" s="66">
        <v>0.9996607132083578</v>
      </c>
      <c r="H21" s="66">
        <v>1.5894640522207126E-05</v>
      </c>
      <c r="I21" s="66"/>
      <c r="J21" s="66"/>
    </row>
    <row r="22" spans="1:10" ht="12.75">
      <c r="A22" s="7"/>
      <c r="B22" s="7"/>
      <c r="C22" s="66"/>
      <c r="D22" s="66"/>
      <c r="E22" s="66"/>
      <c r="F22" s="66"/>
      <c r="G22" s="66"/>
      <c r="H22" s="66"/>
      <c r="I22" s="66"/>
      <c r="J22" s="66"/>
    </row>
    <row r="23" spans="1:10" ht="12.75">
      <c r="A23" s="7"/>
      <c r="B23" s="7"/>
      <c r="C23" s="66"/>
      <c r="D23" s="66"/>
      <c r="E23" s="66"/>
      <c r="F23" s="66"/>
      <c r="G23" s="66"/>
      <c r="H23" s="66"/>
      <c r="I23" s="66"/>
      <c r="J23" s="66"/>
    </row>
    <row r="24" spans="1:10" ht="12.75">
      <c r="A24" s="7"/>
      <c r="B24" s="7"/>
      <c r="C24" s="66"/>
      <c r="D24" s="66"/>
      <c r="E24" s="66"/>
      <c r="F24" s="66"/>
      <c r="G24" s="66"/>
      <c r="H24" s="66"/>
      <c r="I24" s="66"/>
      <c r="J24" s="66"/>
    </row>
    <row r="25" spans="1:10" ht="12.75">
      <c r="A25" s="7"/>
      <c r="B25" s="7"/>
      <c r="C25" s="66"/>
      <c r="D25" s="66"/>
      <c r="E25" s="66"/>
      <c r="F25" s="66"/>
      <c r="G25" s="66"/>
      <c r="H25" s="66"/>
      <c r="I25" s="66"/>
      <c r="J25" s="66"/>
    </row>
    <row r="26" spans="1:10" ht="12.75">
      <c r="A26" s="7"/>
      <c r="B26" s="7"/>
      <c r="C26" s="66"/>
      <c r="D26" s="66"/>
      <c r="E26" s="66"/>
      <c r="F26" s="66"/>
      <c r="G26" s="66"/>
      <c r="H26" s="66"/>
      <c r="I26" s="66"/>
      <c r="J26" s="66"/>
    </row>
    <row r="27" spans="1:10" ht="12.75">
      <c r="A27" s="7"/>
      <c r="B27" s="7"/>
      <c r="C27" s="66"/>
      <c r="D27" s="66"/>
      <c r="E27" s="66"/>
      <c r="F27" s="66"/>
      <c r="G27" s="66"/>
      <c r="H27" s="66"/>
      <c r="I27" s="66"/>
      <c r="J27" s="66"/>
    </row>
    <row r="28" spans="1:10" ht="12.75">
      <c r="A28" s="7"/>
      <c r="B28" s="7"/>
      <c r="C28" s="66"/>
      <c r="D28" s="66"/>
      <c r="E28" s="66"/>
      <c r="F28" s="66"/>
      <c r="G28" s="66"/>
      <c r="H28" s="66"/>
      <c r="I28" s="66"/>
      <c r="J28" s="66"/>
    </row>
    <row r="29" spans="1:10" ht="12.75">
      <c r="A29" s="7"/>
      <c r="B29" s="7"/>
      <c r="C29" s="66"/>
      <c r="D29" s="66"/>
      <c r="E29" s="66"/>
      <c r="F29" s="66"/>
      <c r="G29" s="66"/>
      <c r="H29" s="66"/>
      <c r="I29" s="66"/>
      <c r="J29" s="66"/>
    </row>
    <row r="30" spans="1:10" ht="12.75">
      <c r="A30" s="7"/>
      <c r="B30" s="7"/>
      <c r="C30" s="66"/>
      <c r="D30" s="66"/>
      <c r="E30" s="66"/>
      <c r="F30" s="66"/>
      <c r="G30" s="66"/>
      <c r="H30" s="66"/>
      <c r="I30" s="66"/>
      <c r="J30" s="66"/>
    </row>
    <row r="31" spans="1:10" ht="12.75">
      <c r="A31" s="7"/>
      <c r="B31" s="7"/>
      <c r="C31" s="66"/>
      <c r="D31" s="66"/>
      <c r="E31" s="66"/>
      <c r="F31" s="66"/>
      <c r="G31" s="66"/>
      <c r="H31" s="66"/>
      <c r="I31" s="66"/>
      <c r="J31" s="66"/>
    </row>
    <row r="32" spans="1:10" ht="12.75">
      <c r="A32" s="7"/>
      <c r="B32" s="7"/>
      <c r="C32" s="66"/>
      <c r="D32" s="66"/>
      <c r="E32" s="66"/>
      <c r="F32" s="66"/>
      <c r="G32" s="66"/>
      <c r="H32" s="66"/>
      <c r="I32" s="66"/>
      <c r="J32" s="66"/>
    </row>
    <row r="33" spans="1:10" ht="12.75">
      <c r="A33" s="7"/>
      <c r="B33" s="7"/>
      <c r="C33" s="66"/>
      <c r="D33" s="66"/>
      <c r="E33" s="66"/>
      <c r="F33" s="66"/>
      <c r="G33" s="66"/>
      <c r="H33" s="66"/>
      <c r="I33" s="66"/>
      <c r="J33" s="66"/>
    </row>
    <row r="34" spans="1:10" ht="12.75">
      <c r="A34" s="7"/>
      <c r="B34" s="7"/>
      <c r="C34" s="66"/>
      <c r="D34" s="66"/>
      <c r="E34" s="66"/>
      <c r="F34" s="66"/>
      <c r="G34" s="66"/>
      <c r="H34" s="66"/>
      <c r="I34" s="66"/>
      <c r="J34" s="66"/>
    </row>
    <row r="35" spans="1:10" ht="12.75">
      <c r="A35" s="7"/>
      <c r="B35" s="7"/>
      <c r="C35" s="66"/>
      <c r="D35" s="66"/>
      <c r="E35" s="66"/>
      <c r="F35" s="66"/>
      <c r="G35" s="66"/>
      <c r="H35" s="66"/>
      <c r="I35" s="66"/>
      <c r="J35" s="66"/>
    </row>
    <row r="36" spans="1:10" ht="12.75">
      <c r="A36" s="7"/>
      <c r="B36" s="7"/>
      <c r="C36" s="66"/>
      <c r="D36" s="66"/>
      <c r="E36" s="66"/>
      <c r="F36" s="66"/>
      <c r="G36" s="66"/>
      <c r="H36" s="66"/>
      <c r="I36" s="66"/>
      <c r="J36" s="66"/>
    </row>
    <row r="37" spans="1:10" ht="12.75">
      <c r="A37" s="7"/>
      <c r="B37" s="7"/>
      <c r="C37" s="66"/>
      <c r="D37" s="66"/>
      <c r="E37" s="66"/>
      <c r="F37" s="66"/>
      <c r="G37" s="66"/>
      <c r="H37" s="66"/>
      <c r="I37" s="66"/>
      <c r="J37" s="66"/>
    </row>
    <row r="38" spans="1:10" ht="12.75">
      <c r="A38" s="7"/>
      <c r="B38" s="7"/>
      <c r="C38" s="66"/>
      <c r="D38" s="66"/>
      <c r="E38" s="66"/>
      <c r="F38" s="66"/>
      <c r="G38" s="66"/>
      <c r="H38" s="66"/>
      <c r="I38" s="66"/>
      <c r="J38" s="66"/>
    </row>
    <row r="39" spans="1:10" ht="12.75">
      <c r="A39" s="7"/>
      <c r="B39" s="7"/>
      <c r="C39" s="66"/>
      <c r="D39" s="66"/>
      <c r="E39" s="66"/>
      <c r="F39" s="66"/>
      <c r="G39" s="66"/>
      <c r="H39" s="66"/>
      <c r="I39" s="66"/>
      <c r="J39" s="66"/>
    </row>
    <row r="40" spans="1:10" ht="12.75">
      <c r="A40" s="7"/>
      <c r="B40" s="7"/>
      <c r="C40" s="66"/>
      <c r="D40" s="66"/>
      <c r="E40" s="66"/>
      <c r="F40" s="66"/>
      <c r="G40" s="66"/>
      <c r="H40" s="66"/>
      <c r="I40" s="66"/>
      <c r="J40" s="66"/>
    </row>
    <row r="41" spans="1:10" ht="12.75">
      <c r="A41" s="7"/>
      <c r="B41" s="7"/>
      <c r="C41" s="66"/>
      <c r="D41" s="66"/>
      <c r="E41" s="66"/>
      <c r="F41" s="66"/>
      <c r="G41" s="66"/>
      <c r="H41" s="66"/>
      <c r="I41" s="66"/>
      <c r="J41" s="66"/>
    </row>
    <row r="42" spans="1:10" ht="12.75">
      <c r="A42" s="7"/>
      <c r="B42" s="7"/>
      <c r="C42" s="66"/>
      <c r="D42" s="66"/>
      <c r="E42" s="66"/>
      <c r="F42" s="66"/>
      <c r="G42" s="66"/>
      <c r="H42" s="66"/>
      <c r="I42" s="66"/>
      <c r="J42" s="66"/>
    </row>
    <row r="43" spans="1:10" ht="12.75">
      <c r="A43" s="7"/>
      <c r="B43" s="7"/>
      <c r="C43" s="66"/>
      <c r="D43" s="66"/>
      <c r="E43" s="66"/>
      <c r="F43" s="66"/>
      <c r="G43" s="66"/>
      <c r="H43" s="66"/>
      <c r="I43" s="66"/>
      <c r="J43" s="66"/>
    </row>
  </sheetData>
  <printOptions/>
  <pageMargins left="0.75" right="0.75" top="1" bottom="1" header="0.5" footer="0.5"/>
  <pageSetup orientation="landscape"/>
</worksheet>
</file>

<file path=xl/worksheets/sheet42.xml><?xml version="1.0" encoding="utf-8"?>
<worksheet xmlns="http://schemas.openxmlformats.org/spreadsheetml/2006/main" xmlns:r="http://schemas.openxmlformats.org/officeDocument/2006/relationships">
  <dimension ref="B2:I14"/>
  <sheetViews>
    <sheetView showRowColHeaders="0" defaultGridColor="0" colorId="9" workbookViewId="0" topLeftCell="A2">
      <selection activeCell="K25" sqref="K25"/>
    </sheetView>
  </sheetViews>
  <sheetFormatPr defaultColWidth="9.140625" defaultRowHeight="12.75"/>
  <cols>
    <col min="1" max="1" width="1.7109375" style="36" customWidth="1"/>
    <col min="2" max="2" width="24.7109375" style="36" customWidth="1"/>
    <col min="3" max="7" width="11.00390625" style="36" customWidth="1"/>
    <col min="8" max="8" width="11.00390625" style="37" customWidth="1"/>
    <col min="9" max="9" width="5.421875" style="37" customWidth="1"/>
    <col min="10" max="16384" width="11.140625" style="37" customWidth="1"/>
  </cols>
  <sheetData>
    <row r="1" s="25" customFormat="1" ht="0.75" customHeight="1"/>
    <row r="2" spans="8:9" s="26" customFormat="1" ht="10.5" customHeight="1">
      <c r="H2" s="27"/>
      <c r="I2" s="27" t="s">
        <v>479</v>
      </c>
    </row>
    <row r="3" spans="2:3" s="25" customFormat="1" ht="12" customHeight="1">
      <c r="B3" s="28" t="s">
        <v>480</v>
      </c>
      <c r="C3" s="29" t="s">
        <v>481</v>
      </c>
    </row>
    <row r="4" spans="2:3" s="25" customFormat="1" ht="12" customHeight="1">
      <c r="B4" s="30"/>
      <c r="C4" s="31" t="s">
        <v>482</v>
      </c>
    </row>
    <row r="5" spans="2:3" s="25" customFormat="1" ht="12" customHeight="1">
      <c r="B5" s="30" t="s">
        <v>483</v>
      </c>
      <c r="C5" s="31" t="s">
        <v>493</v>
      </c>
    </row>
    <row r="6" spans="2:9" s="25" customFormat="1" ht="15.75" customHeight="1">
      <c r="B6" s="28" t="s">
        <v>484</v>
      </c>
      <c r="C6" s="31" t="s">
        <v>485</v>
      </c>
      <c r="G6" s="28" t="s">
        <v>486</v>
      </c>
      <c r="H6" s="32">
        <v>38854.74615787037</v>
      </c>
      <c r="I6" s="33"/>
    </row>
    <row r="7" spans="2:7" s="35" customFormat="1" ht="1.5" customHeight="1" thickBot="1">
      <c r="B7" s="34"/>
      <c r="G7" s="34"/>
    </row>
    <row r="8" ht="42" customHeight="1"/>
    <row r="9" spans="2:4" ht="12">
      <c r="B9" s="38" t="s">
        <v>487</v>
      </c>
      <c r="C9" s="39">
        <v>6</v>
      </c>
      <c r="D9" s="40" t="s">
        <v>488</v>
      </c>
    </row>
    <row r="10" ht="36" customHeight="1"/>
    <row r="11" spans="2:3" ht="12">
      <c r="B11" s="41" t="s">
        <v>489</v>
      </c>
      <c r="C11" s="42">
        <v>0.9750588263091442</v>
      </c>
    </row>
    <row r="12" spans="2:5" ht="12">
      <c r="B12" s="38" t="s">
        <v>490</v>
      </c>
      <c r="C12" s="43">
        <v>0.7834845055371495</v>
      </c>
      <c r="D12" s="44">
        <v>0.9973763013310774</v>
      </c>
      <c r="E12" s="40" t="s">
        <v>482</v>
      </c>
    </row>
    <row r="14" spans="2:4" ht="12">
      <c r="B14" s="38" t="s">
        <v>491</v>
      </c>
      <c r="C14" s="45">
        <v>0.0009253357376126647</v>
      </c>
      <c r="D14" s="40" t="s">
        <v>492</v>
      </c>
    </row>
    <row r="15" ht="36" customHeight="1"/>
  </sheetData>
  <printOptions horizontalCentered="1"/>
  <pageMargins left="0.1968503937007874" right="0.1968503937007874" top="0.5118110236220472" bottom="0.984251968503937" header="0.5118110236220472" footer="0.5118110236220472"/>
  <pageSetup blackAndWhite="1" horizontalDpi="300" verticalDpi="300" orientation="portrait"/>
  <headerFooter alignWithMargins="0">
    <oddFooter>&amp;CPage &amp;P of &amp;N</oddFooter>
  </headerFooter>
  <drawing r:id="rId1"/>
</worksheet>
</file>

<file path=xl/worksheets/sheet43.xml><?xml version="1.0" encoding="utf-8"?>
<worksheet xmlns="http://schemas.openxmlformats.org/spreadsheetml/2006/main" xmlns:r="http://schemas.openxmlformats.org/officeDocument/2006/relationships">
  <dimension ref="B2:I14"/>
  <sheetViews>
    <sheetView showRowColHeaders="0" defaultGridColor="0" colorId="9" workbookViewId="0" topLeftCell="A7">
      <selection activeCell="D12" sqref="D12"/>
    </sheetView>
  </sheetViews>
  <sheetFormatPr defaultColWidth="9.140625" defaultRowHeight="12.75"/>
  <cols>
    <col min="1" max="1" width="1.7109375" style="36" customWidth="1"/>
    <col min="2" max="2" width="24.7109375" style="36" customWidth="1"/>
    <col min="3" max="7" width="11.00390625" style="36" customWidth="1"/>
    <col min="8" max="8" width="11.00390625" style="37" customWidth="1"/>
    <col min="9" max="9" width="5.421875" style="37" customWidth="1"/>
    <col min="10" max="16384" width="11.140625" style="37" customWidth="1"/>
  </cols>
  <sheetData>
    <row r="1" s="25" customFormat="1" ht="0.75" customHeight="1"/>
    <row r="2" spans="8:9" s="26" customFormat="1" ht="10.5" customHeight="1">
      <c r="H2" s="27"/>
      <c r="I2" s="27" t="s">
        <v>479</v>
      </c>
    </row>
    <row r="3" spans="2:3" s="25" customFormat="1" ht="12" customHeight="1">
      <c r="B3" s="28" t="s">
        <v>480</v>
      </c>
      <c r="C3" s="29" t="s">
        <v>481</v>
      </c>
    </row>
    <row r="4" spans="2:3" s="25" customFormat="1" ht="12" customHeight="1">
      <c r="B4" s="30"/>
      <c r="C4" s="31" t="s">
        <v>482</v>
      </c>
    </row>
    <row r="5" spans="2:3" s="25" customFormat="1" ht="12" customHeight="1">
      <c r="B5" s="30" t="s">
        <v>483</v>
      </c>
      <c r="C5" s="31" t="s">
        <v>495</v>
      </c>
    </row>
    <row r="6" spans="2:9" s="25" customFormat="1" ht="15.75" customHeight="1">
      <c r="B6" s="28" t="s">
        <v>484</v>
      </c>
      <c r="C6" s="31" t="s">
        <v>485</v>
      </c>
      <c r="G6" s="28" t="s">
        <v>486</v>
      </c>
      <c r="H6" s="32">
        <v>38854.747840972224</v>
      </c>
      <c r="I6" s="33"/>
    </row>
    <row r="7" spans="2:7" s="35" customFormat="1" ht="1.5" customHeight="1" thickBot="1">
      <c r="B7" s="34"/>
      <c r="G7" s="34"/>
    </row>
    <row r="8" ht="42" customHeight="1"/>
    <row r="9" spans="2:4" ht="12">
      <c r="B9" s="38" t="s">
        <v>487</v>
      </c>
      <c r="C9" s="39">
        <v>15</v>
      </c>
      <c r="D9" s="40" t="s">
        <v>494</v>
      </c>
    </row>
    <row r="10" ht="36" customHeight="1"/>
    <row r="11" spans="2:3" ht="12">
      <c r="B11" s="41" t="s">
        <v>489</v>
      </c>
      <c r="C11" s="42">
        <v>0.46803028321420304</v>
      </c>
    </row>
    <row r="12" spans="2:5" ht="12">
      <c r="B12" s="38" t="s">
        <v>490</v>
      </c>
      <c r="C12" s="43">
        <v>-0.058181893055303045</v>
      </c>
      <c r="D12" s="44">
        <v>0.7907154875119591</v>
      </c>
      <c r="E12" s="40" t="s">
        <v>482</v>
      </c>
    </row>
    <row r="14" spans="2:4" ht="12">
      <c r="B14" s="38" t="s">
        <v>491</v>
      </c>
      <c r="C14" s="45">
        <v>0.07850473372660538</v>
      </c>
      <c r="D14" s="40" t="s">
        <v>492</v>
      </c>
    </row>
    <row r="15" ht="36" customHeight="1"/>
  </sheetData>
  <printOptions horizontalCentered="1"/>
  <pageMargins left="0.1968503937007874" right="0.1968503937007874" top="0.5118110236220472" bottom="0.984251968503937" header="0.5118110236220472" footer="0.5118110236220472"/>
  <pageSetup blackAndWhite="1" horizontalDpi="300" verticalDpi="300" orientation="portrait"/>
  <headerFooter alignWithMargins="0">
    <oddFooter>&amp;CPage &amp;P of &amp;N</oddFooter>
  </headerFooter>
  <drawing r:id="rId1"/>
</worksheet>
</file>

<file path=xl/worksheets/sheet44.xml><?xml version="1.0" encoding="utf-8"?>
<worksheet xmlns="http://schemas.openxmlformats.org/spreadsheetml/2006/main" xmlns:r="http://schemas.openxmlformats.org/officeDocument/2006/relationships">
  <dimension ref="B2:I14"/>
  <sheetViews>
    <sheetView showRowColHeaders="0" defaultGridColor="0" colorId="9" workbookViewId="0" topLeftCell="A4">
      <selection activeCell="C9" sqref="C9:D14"/>
    </sheetView>
  </sheetViews>
  <sheetFormatPr defaultColWidth="9.140625" defaultRowHeight="12.75"/>
  <cols>
    <col min="1" max="1" width="1.7109375" style="36" customWidth="1"/>
    <col min="2" max="2" width="24.7109375" style="36" customWidth="1"/>
    <col min="3" max="7" width="11.00390625" style="36" customWidth="1"/>
    <col min="8" max="8" width="11.00390625" style="37" customWidth="1"/>
    <col min="9" max="9" width="5.421875" style="37" customWidth="1"/>
    <col min="10" max="16384" width="11.140625" style="37" customWidth="1"/>
  </cols>
  <sheetData>
    <row r="1" s="25" customFormat="1" ht="0.75" customHeight="1"/>
    <row r="2" spans="8:9" s="26" customFormat="1" ht="10.5" customHeight="1">
      <c r="H2" s="27"/>
      <c r="I2" s="27" t="s">
        <v>479</v>
      </c>
    </row>
    <row r="3" spans="2:3" s="25" customFormat="1" ht="12" customHeight="1">
      <c r="B3" s="28" t="s">
        <v>480</v>
      </c>
      <c r="C3" s="29" t="s">
        <v>481</v>
      </c>
    </row>
    <row r="4" spans="2:3" s="25" customFormat="1" ht="12" customHeight="1">
      <c r="B4" s="30"/>
      <c r="C4" s="31" t="s">
        <v>482</v>
      </c>
    </row>
    <row r="5" spans="2:3" s="25" customFormat="1" ht="12" customHeight="1">
      <c r="B5" s="30" t="s">
        <v>483</v>
      </c>
      <c r="C5" s="31" t="s">
        <v>376</v>
      </c>
    </row>
    <row r="6" spans="2:9" s="25" customFormat="1" ht="15.75" customHeight="1">
      <c r="B6" s="28" t="s">
        <v>484</v>
      </c>
      <c r="C6" s="31" t="s">
        <v>485</v>
      </c>
      <c r="G6" s="28" t="s">
        <v>486</v>
      </c>
      <c r="H6" s="32">
        <v>38854.75670092593</v>
      </c>
      <c r="I6" s="33"/>
    </row>
    <row r="7" spans="2:7" s="35" customFormat="1" ht="1.5" customHeight="1" thickBot="1">
      <c r="B7" s="34"/>
      <c r="G7" s="34"/>
    </row>
    <row r="8" ht="42" customHeight="1"/>
    <row r="9" spans="2:4" ht="12">
      <c r="B9" s="38" t="s">
        <v>487</v>
      </c>
      <c r="C9" s="39">
        <v>6</v>
      </c>
      <c r="D9" s="40" t="s">
        <v>482</v>
      </c>
    </row>
    <row r="10" ht="36" customHeight="1"/>
    <row r="11" spans="2:3" ht="12">
      <c r="B11" s="41" t="s">
        <v>489</v>
      </c>
      <c r="C11" s="42">
        <v>0.7226990125217995</v>
      </c>
    </row>
    <row r="12" spans="2:5" ht="12">
      <c r="B12" s="38" t="s">
        <v>490</v>
      </c>
      <c r="C12" s="43">
        <v>-0.21491015296830956</v>
      </c>
      <c r="D12" s="44">
        <v>0.9670634884269754</v>
      </c>
      <c r="E12" s="40" t="s">
        <v>482</v>
      </c>
    </row>
    <row r="14" spans="2:4" ht="12">
      <c r="B14" s="38" t="s">
        <v>491</v>
      </c>
      <c r="C14" s="45">
        <v>0.10468211062703814</v>
      </c>
      <c r="D14" s="40" t="s">
        <v>492</v>
      </c>
    </row>
    <row r="15" ht="36" customHeight="1"/>
  </sheetData>
  <printOptions horizontalCentered="1"/>
  <pageMargins left="0.1968503937007874" right="0.1968503937007874" top="0.5118110236220472" bottom="0.984251968503937" header="0.5118110236220472" footer="0.5118110236220472"/>
  <pageSetup blackAndWhite="1" horizontalDpi="300" verticalDpi="300" orientation="portrait"/>
  <headerFooter alignWithMargins="0">
    <oddFooter>&amp;CPage &amp;P of &amp;N</oddFooter>
  </headerFooter>
  <drawing r:id="rId1"/>
</worksheet>
</file>

<file path=xl/worksheets/sheet45.xml><?xml version="1.0" encoding="utf-8"?>
<worksheet xmlns="http://schemas.openxmlformats.org/spreadsheetml/2006/main" xmlns:r="http://schemas.openxmlformats.org/officeDocument/2006/relationships">
  <dimension ref="B2:I14"/>
  <sheetViews>
    <sheetView showRowColHeaders="0" defaultGridColor="0" colorId="9" workbookViewId="0" topLeftCell="A4">
      <selection activeCell="C9" sqref="C9:D14"/>
    </sheetView>
  </sheetViews>
  <sheetFormatPr defaultColWidth="9.140625" defaultRowHeight="12.75"/>
  <cols>
    <col min="1" max="1" width="1.7109375" style="36" customWidth="1"/>
    <col min="2" max="2" width="24.7109375" style="36" customWidth="1"/>
    <col min="3" max="7" width="11.00390625" style="36" customWidth="1"/>
    <col min="8" max="8" width="11.00390625" style="37" customWidth="1"/>
    <col min="9" max="9" width="5.421875" style="37" customWidth="1"/>
    <col min="10" max="16384" width="11.140625" style="37" customWidth="1"/>
  </cols>
  <sheetData>
    <row r="1" s="25" customFormat="1" ht="0.75" customHeight="1"/>
    <row r="2" spans="8:9" s="26" customFormat="1" ht="10.5" customHeight="1">
      <c r="H2" s="27"/>
      <c r="I2" s="27" t="s">
        <v>479</v>
      </c>
    </row>
    <row r="3" spans="2:3" s="25" customFormat="1" ht="12" customHeight="1">
      <c r="B3" s="28" t="s">
        <v>480</v>
      </c>
      <c r="C3" s="29" t="s">
        <v>481</v>
      </c>
    </row>
    <row r="4" spans="2:3" s="25" customFormat="1" ht="12" customHeight="1">
      <c r="B4" s="30"/>
      <c r="C4" s="31" t="s">
        <v>482</v>
      </c>
    </row>
    <row r="5" spans="2:3" s="25" customFormat="1" ht="12" customHeight="1">
      <c r="B5" s="30" t="s">
        <v>483</v>
      </c>
      <c r="C5" s="31" t="s">
        <v>377</v>
      </c>
    </row>
    <row r="6" spans="2:9" s="25" customFormat="1" ht="15.75" customHeight="1">
      <c r="B6" s="28" t="s">
        <v>484</v>
      </c>
      <c r="C6" s="31" t="s">
        <v>485</v>
      </c>
      <c r="G6" s="28" t="s">
        <v>486</v>
      </c>
      <c r="H6" s="32">
        <v>38854.75071122685</v>
      </c>
      <c r="I6" s="33"/>
    </row>
    <row r="7" spans="2:7" s="35" customFormat="1" ht="1.5" customHeight="1" thickBot="1">
      <c r="B7" s="34"/>
      <c r="G7" s="34"/>
    </row>
    <row r="8" ht="42" customHeight="1"/>
    <row r="9" spans="2:4" ht="12">
      <c r="B9" s="38" t="s">
        <v>487</v>
      </c>
      <c r="C9" s="39">
        <v>5</v>
      </c>
      <c r="D9" s="40" t="s">
        <v>482</v>
      </c>
    </row>
    <row r="10" ht="36" customHeight="1"/>
    <row r="11" spans="2:3" ht="12">
      <c r="B11" s="41" t="s">
        <v>489</v>
      </c>
      <c r="C11" s="42">
        <v>-0.30500962992196157</v>
      </c>
    </row>
    <row r="12" spans="2:5" ht="12">
      <c r="B12" s="38" t="s">
        <v>490</v>
      </c>
      <c r="C12" s="43">
        <v>-0.9355261709585708</v>
      </c>
      <c r="D12" s="44">
        <v>0.7897887094866644</v>
      </c>
      <c r="E12" s="40" t="s">
        <v>482</v>
      </c>
    </row>
    <row r="14" spans="2:4" ht="12">
      <c r="B14" s="38" t="s">
        <v>491</v>
      </c>
      <c r="C14" s="45">
        <v>0.6177580580332711</v>
      </c>
      <c r="D14" s="40" t="s">
        <v>492</v>
      </c>
    </row>
    <row r="15" ht="36" customHeight="1"/>
  </sheetData>
  <printOptions horizontalCentered="1"/>
  <pageMargins left="0.1968503937007874" right="0.1968503937007874" top="0.5118110236220472" bottom="0.984251968503937" header="0.5118110236220472" footer="0.5118110236220472"/>
  <pageSetup blackAndWhite="1" horizontalDpi="300" verticalDpi="300" orientation="portrait"/>
  <headerFooter alignWithMargins="0">
    <oddFooter>&amp;CPage &amp;P of &amp;N</oddFooter>
  </headerFooter>
  <drawing r:id="rId1"/>
</worksheet>
</file>

<file path=xl/worksheets/sheet46.xml><?xml version="1.0" encoding="utf-8"?>
<worksheet xmlns="http://schemas.openxmlformats.org/spreadsheetml/2006/main" xmlns:r="http://schemas.openxmlformats.org/officeDocument/2006/relationships">
  <dimension ref="B2:I14"/>
  <sheetViews>
    <sheetView showRowColHeaders="0" defaultGridColor="0" colorId="9" workbookViewId="0" topLeftCell="A2">
      <selection activeCell="C9" sqref="C9:D14"/>
    </sheetView>
  </sheetViews>
  <sheetFormatPr defaultColWidth="9.140625" defaultRowHeight="12.75"/>
  <cols>
    <col min="1" max="1" width="1.7109375" style="36" customWidth="1"/>
    <col min="2" max="2" width="24.7109375" style="36" customWidth="1"/>
    <col min="3" max="7" width="11.00390625" style="36" customWidth="1"/>
    <col min="8" max="8" width="11.00390625" style="37" customWidth="1"/>
    <col min="9" max="9" width="5.421875" style="37" customWidth="1"/>
    <col min="10" max="16384" width="11.140625" style="37" customWidth="1"/>
  </cols>
  <sheetData>
    <row r="1" s="25" customFormat="1" ht="0.75" customHeight="1"/>
    <row r="2" spans="8:9" s="26" customFormat="1" ht="10.5" customHeight="1">
      <c r="H2" s="27"/>
      <c r="I2" s="27" t="s">
        <v>479</v>
      </c>
    </row>
    <row r="3" spans="2:3" s="25" customFormat="1" ht="12" customHeight="1">
      <c r="B3" s="28" t="s">
        <v>480</v>
      </c>
      <c r="C3" s="29" t="s">
        <v>481</v>
      </c>
    </row>
    <row r="4" spans="2:3" s="25" customFormat="1" ht="12" customHeight="1">
      <c r="B4" s="30"/>
      <c r="C4" s="31" t="s">
        <v>482</v>
      </c>
    </row>
    <row r="5" spans="2:3" s="25" customFormat="1" ht="12" customHeight="1">
      <c r="B5" s="30" t="s">
        <v>483</v>
      </c>
      <c r="C5" s="31" t="s">
        <v>378</v>
      </c>
    </row>
    <row r="6" spans="2:9" s="25" customFormat="1" ht="15.75" customHeight="1">
      <c r="B6" s="28" t="s">
        <v>484</v>
      </c>
      <c r="C6" s="31" t="s">
        <v>485</v>
      </c>
      <c r="G6" s="28" t="s">
        <v>486</v>
      </c>
      <c r="H6" s="32">
        <v>38854.76097488426</v>
      </c>
      <c r="I6" s="33"/>
    </row>
    <row r="7" spans="2:7" s="35" customFormat="1" ht="1.5" customHeight="1" thickBot="1">
      <c r="B7" s="34"/>
      <c r="G7" s="34"/>
    </row>
    <row r="8" ht="42" customHeight="1"/>
    <row r="9" spans="2:4" ht="12">
      <c r="B9" s="38" t="s">
        <v>487</v>
      </c>
      <c r="C9" s="39">
        <v>6</v>
      </c>
      <c r="D9" s="40" t="s">
        <v>482</v>
      </c>
    </row>
    <row r="10" ht="36" customHeight="1"/>
    <row r="11" spans="2:3" ht="12">
      <c r="B11" s="41" t="s">
        <v>489</v>
      </c>
      <c r="C11" s="42">
        <v>0.9967430161731522</v>
      </c>
    </row>
    <row r="12" spans="2:5" ht="12">
      <c r="B12" s="38" t="s">
        <v>490</v>
      </c>
      <c r="C12" s="43">
        <v>0.9691220225059154</v>
      </c>
      <c r="D12" s="44">
        <v>0.9996607132083578</v>
      </c>
      <c r="E12" s="40" t="s">
        <v>482</v>
      </c>
    </row>
    <row r="14" spans="2:4" ht="12">
      <c r="B14" s="38" t="s">
        <v>491</v>
      </c>
      <c r="C14" s="45">
        <v>1.5894640522207126E-05</v>
      </c>
      <c r="D14" s="40" t="s">
        <v>492</v>
      </c>
    </row>
    <row r="15" ht="36" customHeight="1"/>
  </sheetData>
  <printOptions horizontalCentered="1"/>
  <pageMargins left="0.1968503937007874" right="0.1968503937007874" top="0.5118110236220472" bottom="0.984251968503937" header="0.5118110236220472" footer="0.5118110236220472"/>
  <pageSetup blackAndWhite="1" horizontalDpi="300" verticalDpi="300" orientation="portrait"/>
  <headerFooter alignWithMargins="0">
    <oddFooter>&amp;CPage &amp;P of &amp;N</oddFooter>
  </headerFooter>
  <drawing r:id="rId1"/>
</worksheet>
</file>

<file path=xl/worksheets/sheet47.xml><?xml version="1.0" encoding="utf-8"?>
<worksheet xmlns="http://schemas.openxmlformats.org/spreadsheetml/2006/main" xmlns:r="http://schemas.openxmlformats.org/officeDocument/2006/relationships">
  <dimension ref="B2:I14"/>
  <sheetViews>
    <sheetView showRowColHeaders="0" defaultGridColor="0" colorId="9" workbookViewId="0" topLeftCell="A2">
      <selection activeCell="C9" sqref="C9:D14"/>
    </sheetView>
  </sheetViews>
  <sheetFormatPr defaultColWidth="9.140625" defaultRowHeight="12.75"/>
  <cols>
    <col min="1" max="1" width="1.7109375" style="36" customWidth="1"/>
    <col min="2" max="2" width="24.7109375" style="36" customWidth="1"/>
    <col min="3" max="7" width="11.00390625" style="36" customWidth="1"/>
    <col min="8" max="8" width="11.00390625" style="37" customWidth="1"/>
    <col min="9" max="9" width="5.421875" style="37" customWidth="1"/>
    <col min="10" max="16384" width="11.140625" style="37" customWidth="1"/>
  </cols>
  <sheetData>
    <row r="1" s="25" customFormat="1" ht="0.75" customHeight="1"/>
    <row r="2" spans="8:9" s="26" customFormat="1" ht="10.5" customHeight="1">
      <c r="H2" s="27"/>
      <c r="I2" s="27" t="s">
        <v>479</v>
      </c>
    </row>
    <row r="3" spans="2:3" s="25" customFormat="1" ht="12" customHeight="1">
      <c r="B3" s="28" t="s">
        <v>480</v>
      </c>
      <c r="C3" s="29" t="s">
        <v>481</v>
      </c>
    </row>
    <row r="4" spans="2:3" s="25" customFormat="1" ht="12" customHeight="1">
      <c r="B4" s="30"/>
      <c r="C4" s="31" t="s">
        <v>482</v>
      </c>
    </row>
    <row r="5" spans="2:3" s="25" customFormat="1" ht="12" customHeight="1">
      <c r="B5" s="30" t="s">
        <v>483</v>
      </c>
      <c r="C5" s="31" t="s">
        <v>379</v>
      </c>
    </row>
    <row r="6" spans="2:9" s="25" customFormat="1" ht="15.75" customHeight="1">
      <c r="B6" s="28" t="s">
        <v>484</v>
      </c>
      <c r="C6" s="31" t="s">
        <v>485</v>
      </c>
      <c r="G6" s="28" t="s">
        <v>486</v>
      </c>
      <c r="H6" s="32">
        <v>38854.76212361111</v>
      </c>
      <c r="I6" s="33"/>
    </row>
    <row r="7" spans="2:7" s="35" customFormat="1" ht="1.5" customHeight="1" thickBot="1">
      <c r="B7" s="34"/>
      <c r="G7" s="34"/>
    </row>
    <row r="8" ht="42" customHeight="1"/>
    <row r="9" spans="2:4" ht="12">
      <c r="B9" s="38" t="s">
        <v>487</v>
      </c>
      <c r="C9" s="39">
        <v>5</v>
      </c>
      <c r="D9" s="40" t="s">
        <v>482</v>
      </c>
    </row>
    <row r="10" ht="36" customHeight="1"/>
    <row r="11" spans="2:3" ht="12">
      <c r="B11" s="41" t="s">
        <v>489</v>
      </c>
      <c r="C11" s="42">
        <v>0.9630934792286289</v>
      </c>
    </row>
    <row r="12" spans="2:5" ht="12">
      <c r="B12" s="38" t="s">
        <v>490</v>
      </c>
      <c r="C12" s="43">
        <v>0.5377896109600718</v>
      </c>
      <c r="D12" s="44">
        <v>0.9976509023751692</v>
      </c>
      <c r="E12" s="40" t="s">
        <v>482</v>
      </c>
    </row>
    <row r="14" spans="2:4" ht="12">
      <c r="B14" s="38" t="s">
        <v>491</v>
      </c>
      <c r="C14" s="45">
        <v>0.00846388135797671</v>
      </c>
      <c r="D14" s="40" t="s">
        <v>492</v>
      </c>
    </row>
    <row r="15" ht="36" customHeight="1"/>
  </sheetData>
  <printOptions horizontalCentered="1"/>
  <pageMargins left="0.1968503937007874" right="0.1968503937007874" top="0.5118110236220472" bottom="0.984251968503937" header="0.5118110236220472" footer="0.5118110236220472"/>
  <pageSetup blackAndWhite="1" horizontalDpi="300" verticalDpi="300" orientation="portrait"/>
  <headerFooter alignWithMargins="0">
    <oddFooter>&amp;CPage &amp;P of &amp;N</oddFooter>
  </headerFooter>
  <drawing r:id="rId1"/>
</worksheet>
</file>

<file path=xl/worksheets/sheet48.xml><?xml version="1.0" encoding="utf-8"?>
<worksheet xmlns="http://schemas.openxmlformats.org/spreadsheetml/2006/main" xmlns:r="http://schemas.openxmlformats.org/officeDocument/2006/relationships">
  <dimension ref="B2:I14"/>
  <sheetViews>
    <sheetView showRowColHeaders="0" defaultGridColor="0" colorId="9" workbookViewId="0" topLeftCell="A2">
      <selection activeCell="C9" sqref="C9:D14"/>
    </sheetView>
  </sheetViews>
  <sheetFormatPr defaultColWidth="9.140625" defaultRowHeight="12.75"/>
  <cols>
    <col min="1" max="1" width="1.7109375" style="36" customWidth="1"/>
    <col min="2" max="2" width="24.7109375" style="36" customWidth="1"/>
    <col min="3" max="7" width="11.00390625" style="36" customWidth="1"/>
    <col min="8" max="8" width="11.00390625" style="37" customWidth="1"/>
    <col min="9" max="9" width="5.421875" style="37" customWidth="1"/>
    <col min="10" max="16384" width="11.140625" style="37" customWidth="1"/>
  </cols>
  <sheetData>
    <row r="1" s="25" customFormat="1" ht="0.75" customHeight="1"/>
    <row r="2" spans="8:9" s="26" customFormat="1" ht="10.5" customHeight="1">
      <c r="H2" s="27"/>
      <c r="I2" s="27" t="s">
        <v>479</v>
      </c>
    </row>
    <row r="3" spans="2:3" s="25" customFormat="1" ht="12" customHeight="1">
      <c r="B3" s="28" t="s">
        <v>480</v>
      </c>
      <c r="C3" s="29" t="s">
        <v>481</v>
      </c>
    </row>
    <row r="4" spans="2:3" s="25" customFormat="1" ht="12" customHeight="1">
      <c r="B4" s="30"/>
      <c r="C4" s="31" t="s">
        <v>482</v>
      </c>
    </row>
    <row r="5" spans="2:3" s="25" customFormat="1" ht="12" customHeight="1">
      <c r="B5" s="30" t="s">
        <v>483</v>
      </c>
      <c r="C5" s="31" t="s">
        <v>380</v>
      </c>
    </row>
    <row r="6" spans="2:9" s="25" customFormat="1" ht="15.75" customHeight="1">
      <c r="B6" s="28" t="s">
        <v>484</v>
      </c>
      <c r="C6" s="31" t="s">
        <v>485</v>
      </c>
      <c r="G6" s="28" t="s">
        <v>486</v>
      </c>
      <c r="H6" s="32">
        <v>38854.76492847222</v>
      </c>
      <c r="I6" s="33"/>
    </row>
    <row r="7" spans="2:7" s="35" customFormat="1" ht="1.5" customHeight="1" thickBot="1">
      <c r="B7" s="34"/>
      <c r="G7" s="34"/>
    </row>
    <row r="8" ht="42" customHeight="1"/>
    <row r="9" spans="2:4" ht="12">
      <c r="B9" s="38" t="s">
        <v>487</v>
      </c>
      <c r="C9" s="39">
        <v>6</v>
      </c>
      <c r="D9" s="40" t="s">
        <v>482</v>
      </c>
    </row>
    <row r="10" ht="36" customHeight="1"/>
    <row r="11" spans="2:3" ht="12">
      <c r="B11" s="41" t="s">
        <v>489</v>
      </c>
      <c r="C11" s="42">
        <v>0.2321426266693155</v>
      </c>
    </row>
    <row r="12" spans="2:5" ht="12">
      <c r="B12" s="38" t="s">
        <v>490</v>
      </c>
      <c r="C12" s="43">
        <v>-0.7139196138868866</v>
      </c>
      <c r="D12" s="44">
        <v>0.878244414538046</v>
      </c>
      <c r="E12" s="40" t="s">
        <v>482</v>
      </c>
    </row>
    <row r="14" spans="2:4" ht="12">
      <c r="B14" s="38" t="s">
        <v>491</v>
      </c>
      <c r="C14" s="45">
        <v>0.6580411661833949</v>
      </c>
      <c r="D14" s="40" t="s">
        <v>492</v>
      </c>
    </row>
    <row r="15" ht="36" customHeight="1"/>
  </sheetData>
  <printOptions horizontalCentered="1"/>
  <pageMargins left="0.1968503937007874" right="0.1968503937007874" top="0.5118110236220472" bottom="0.984251968503937" header="0.5118110236220472" footer="0.5118110236220472"/>
  <pageSetup blackAndWhite="1" horizontalDpi="300" verticalDpi="300" orientation="portrait"/>
  <headerFooter alignWithMargins="0">
    <oddFooter>&amp;CPage &amp;P of &amp;N</oddFooter>
  </headerFooter>
  <drawing r:id="rId1"/>
</worksheet>
</file>

<file path=xl/worksheets/sheet49.xml><?xml version="1.0" encoding="utf-8"?>
<worksheet xmlns="http://schemas.openxmlformats.org/spreadsheetml/2006/main" xmlns:r="http://schemas.openxmlformats.org/officeDocument/2006/relationships">
  <dimension ref="B2:I14"/>
  <sheetViews>
    <sheetView showRowColHeaders="0" defaultGridColor="0" colorId="9" workbookViewId="0" topLeftCell="A2">
      <selection activeCell="C9" sqref="C9:D14"/>
    </sheetView>
  </sheetViews>
  <sheetFormatPr defaultColWidth="9.140625" defaultRowHeight="12.75"/>
  <cols>
    <col min="1" max="1" width="1.7109375" style="36" customWidth="1"/>
    <col min="2" max="2" width="24.7109375" style="36" customWidth="1"/>
    <col min="3" max="7" width="11.00390625" style="36" customWidth="1"/>
    <col min="8" max="8" width="11.00390625" style="37" customWidth="1"/>
    <col min="9" max="9" width="5.421875" style="37" customWidth="1"/>
    <col min="10" max="16384" width="11.140625" style="37" customWidth="1"/>
  </cols>
  <sheetData>
    <row r="1" s="25" customFormat="1" ht="0.75" customHeight="1"/>
    <row r="2" spans="8:9" s="26" customFormat="1" ht="10.5" customHeight="1">
      <c r="H2" s="27"/>
      <c r="I2" s="27" t="s">
        <v>479</v>
      </c>
    </row>
    <row r="3" spans="2:3" s="25" customFormat="1" ht="12" customHeight="1">
      <c r="B3" s="28" t="s">
        <v>480</v>
      </c>
      <c r="C3" s="29" t="s">
        <v>481</v>
      </c>
    </row>
    <row r="4" spans="2:3" s="25" customFormat="1" ht="12" customHeight="1">
      <c r="B4" s="30"/>
      <c r="C4" s="31" t="s">
        <v>482</v>
      </c>
    </row>
    <row r="5" spans="2:3" s="25" customFormat="1" ht="12" customHeight="1">
      <c r="B5" s="30" t="s">
        <v>483</v>
      </c>
      <c r="C5" s="31" t="s">
        <v>381</v>
      </c>
    </row>
    <row r="6" spans="2:9" s="25" customFormat="1" ht="15.75" customHeight="1">
      <c r="B6" s="28" t="s">
        <v>484</v>
      </c>
      <c r="C6" s="31" t="s">
        <v>485</v>
      </c>
      <c r="G6" s="28" t="s">
        <v>486</v>
      </c>
      <c r="H6" s="32">
        <v>38854.76720601852</v>
      </c>
      <c r="I6" s="33"/>
    </row>
    <row r="7" spans="2:7" s="35" customFormat="1" ht="1.5" customHeight="1" thickBot="1">
      <c r="B7" s="34"/>
      <c r="G7" s="34"/>
    </row>
    <row r="8" ht="42" customHeight="1"/>
    <row r="9" spans="2:4" ht="12">
      <c r="B9" s="38" t="s">
        <v>487</v>
      </c>
      <c r="C9" s="39">
        <v>8</v>
      </c>
      <c r="D9" s="40" t="s">
        <v>494</v>
      </c>
    </row>
    <row r="10" ht="36" customHeight="1"/>
    <row r="11" spans="2:3" ht="12">
      <c r="B11" s="41" t="s">
        <v>489</v>
      </c>
      <c r="C11" s="42">
        <v>0.46002139663412417</v>
      </c>
    </row>
    <row r="12" spans="2:5" ht="12">
      <c r="B12" s="38" t="s">
        <v>490</v>
      </c>
      <c r="C12" s="43">
        <v>-0.3619986361122283</v>
      </c>
      <c r="D12" s="44">
        <v>0.8795691102041554</v>
      </c>
      <c r="E12" s="40" t="s">
        <v>482</v>
      </c>
    </row>
    <row r="14" spans="2:4" ht="12">
      <c r="B14" s="38" t="s">
        <v>491</v>
      </c>
      <c r="C14" s="45">
        <v>0.2514214522661773</v>
      </c>
      <c r="D14" s="40" t="s">
        <v>492</v>
      </c>
    </row>
    <row r="15" ht="36" customHeight="1"/>
  </sheetData>
  <printOptions horizontalCentered="1"/>
  <pageMargins left="0.1968503937007874" right="0.1968503937007874" top="0.5118110236220472" bottom="0.984251968503937" header="0.5118110236220472" footer="0.5118110236220472"/>
  <pageSetup blackAndWhite="1" horizontalDpi="300" verticalDpi="300" orientation="portrait"/>
  <headerFooter alignWithMargins="0">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V22"/>
  <sheetViews>
    <sheetView workbookViewId="0" topLeftCell="A7">
      <selection activeCell="B2" sqref="B2"/>
    </sheetView>
  </sheetViews>
  <sheetFormatPr defaultColWidth="9.140625" defaultRowHeight="12.75"/>
  <cols>
    <col min="1" max="3" width="8.8515625" style="0" customWidth="1"/>
    <col min="4" max="4" width="19.00390625" style="0" customWidth="1"/>
    <col min="5" max="5" width="18.421875" style="0" customWidth="1"/>
    <col min="6" max="6" width="16.7109375" style="0" customWidth="1"/>
    <col min="7" max="11" width="8.8515625" style="0" customWidth="1"/>
    <col min="12" max="12" width="13.421875" style="0" customWidth="1"/>
    <col min="13" max="13" width="14.421875" style="0" customWidth="1"/>
    <col min="14" max="14" width="24.00390625" style="0" customWidth="1"/>
    <col min="15" max="16384" width="8.8515625" style="0" customWidth="1"/>
  </cols>
  <sheetData>
    <row r="1" spans="1:21" ht="63.75">
      <c r="A1" s="7" t="s">
        <v>69</v>
      </c>
      <c r="B1" s="7" t="s">
        <v>57</v>
      </c>
      <c r="C1" s="7" t="s">
        <v>58</v>
      </c>
      <c r="D1" s="7" t="s">
        <v>59</v>
      </c>
      <c r="E1" s="7" t="s">
        <v>60</v>
      </c>
      <c r="F1" s="7" t="s">
        <v>92</v>
      </c>
      <c r="G1" s="7" t="s">
        <v>61</v>
      </c>
      <c r="H1" s="7" t="s">
        <v>62</v>
      </c>
      <c r="I1" s="7" t="s">
        <v>63</v>
      </c>
      <c r="J1" s="8" t="s">
        <v>64</v>
      </c>
      <c r="K1" s="8" t="s">
        <v>138</v>
      </c>
      <c r="L1" s="7" t="s">
        <v>1126</v>
      </c>
      <c r="M1" s="7" t="s">
        <v>1127</v>
      </c>
      <c r="N1" s="7" t="s">
        <v>66</v>
      </c>
      <c r="O1" s="7" t="s">
        <v>85</v>
      </c>
      <c r="P1" s="7" t="s">
        <v>67</v>
      </c>
      <c r="Q1" s="7" t="s">
        <v>68</v>
      </c>
      <c r="R1" s="10"/>
      <c r="S1" s="10"/>
      <c r="T1" s="10"/>
      <c r="U1" s="10"/>
    </row>
    <row r="2" spans="2:16" ht="12.75">
      <c r="B2" t="s">
        <v>723</v>
      </c>
      <c r="D2" t="s">
        <v>714</v>
      </c>
      <c r="E2" t="s">
        <v>720</v>
      </c>
      <c r="F2" t="s">
        <v>719</v>
      </c>
      <c r="G2" t="s">
        <v>102</v>
      </c>
      <c r="H2" t="s">
        <v>94</v>
      </c>
      <c r="I2" t="s">
        <v>715</v>
      </c>
      <c r="J2">
        <v>0.1554536764167053</v>
      </c>
      <c r="K2">
        <v>0.3585626607142523</v>
      </c>
      <c r="L2" t="s">
        <v>87</v>
      </c>
      <c r="M2" t="s">
        <v>797</v>
      </c>
      <c r="N2" t="s">
        <v>107</v>
      </c>
      <c r="O2">
        <v>0.945</v>
      </c>
      <c r="P2">
        <v>6</v>
      </c>
    </row>
    <row r="3" spans="2:16" ht="12.75">
      <c r="B3" t="s">
        <v>723</v>
      </c>
      <c r="D3" t="s">
        <v>714</v>
      </c>
      <c r="E3" t="s">
        <v>721</v>
      </c>
      <c r="F3" t="s">
        <v>719</v>
      </c>
      <c r="G3" t="s">
        <v>102</v>
      </c>
      <c r="H3" t="s">
        <v>94</v>
      </c>
      <c r="I3" t="s">
        <v>716</v>
      </c>
      <c r="J3">
        <v>0.26689227947346156</v>
      </c>
      <c r="K3">
        <v>0.454147553114624</v>
      </c>
      <c r="L3" t="s">
        <v>87</v>
      </c>
      <c r="M3" t="s">
        <v>797</v>
      </c>
      <c r="N3" t="s">
        <v>713</v>
      </c>
      <c r="O3">
        <v>0.88</v>
      </c>
      <c r="P3">
        <v>6</v>
      </c>
    </row>
    <row r="4" spans="2:16" ht="12.75">
      <c r="B4" t="s">
        <v>723</v>
      </c>
      <c r="D4" t="s">
        <v>714</v>
      </c>
      <c r="E4" t="s">
        <v>722</v>
      </c>
      <c r="F4" t="s">
        <v>719</v>
      </c>
      <c r="G4" t="s">
        <v>102</v>
      </c>
      <c r="H4" t="s">
        <v>94</v>
      </c>
      <c r="I4" t="s">
        <v>717</v>
      </c>
      <c r="J4" s="1">
        <v>0.2146578881162673</v>
      </c>
      <c r="K4" s="1">
        <v>0.5964998854714791</v>
      </c>
      <c r="L4" t="s">
        <v>87</v>
      </c>
      <c r="M4" t="s">
        <v>797</v>
      </c>
      <c r="N4" t="s">
        <v>95</v>
      </c>
      <c r="O4">
        <v>0.89</v>
      </c>
      <c r="P4">
        <v>6</v>
      </c>
    </row>
    <row r="7" ht="12.75">
      <c r="B7" t="s">
        <v>718</v>
      </c>
    </row>
    <row r="8" ht="12.75">
      <c r="P8" t="s">
        <v>795</v>
      </c>
    </row>
    <row r="9" spans="1:9" ht="12.75">
      <c r="A9" s="47" t="s">
        <v>375</v>
      </c>
      <c r="B9" s="47"/>
      <c r="C9" s="52" t="s">
        <v>970</v>
      </c>
      <c r="D9" s="52" t="s">
        <v>971</v>
      </c>
      <c r="E9" s="52" t="s">
        <v>1129</v>
      </c>
      <c r="G9" s="52" t="s">
        <v>188</v>
      </c>
      <c r="H9" s="52" t="s">
        <v>191</v>
      </c>
      <c r="I9" s="52" t="s">
        <v>6</v>
      </c>
    </row>
    <row r="10" spans="1:22" ht="13.5" thickBot="1">
      <c r="A10" s="48"/>
      <c r="B10" s="48"/>
      <c r="C10" s="53" t="s">
        <v>711</v>
      </c>
      <c r="D10" s="53" t="s">
        <v>691</v>
      </c>
      <c r="E10" s="53" t="s">
        <v>712</v>
      </c>
      <c r="G10" s="53" t="s">
        <v>711</v>
      </c>
      <c r="H10" s="59" t="s">
        <v>691</v>
      </c>
      <c r="I10" s="59"/>
      <c r="P10" t="s">
        <v>970</v>
      </c>
      <c r="Q10" t="s">
        <v>971</v>
      </c>
      <c r="R10" t="s">
        <v>1129</v>
      </c>
      <c r="T10" t="s">
        <v>188</v>
      </c>
      <c r="U10" t="s">
        <v>191</v>
      </c>
      <c r="V10" t="s">
        <v>6</v>
      </c>
    </row>
    <row r="11" spans="1:18" ht="12.75">
      <c r="A11" s="23">
        <v>1</v>
      </c>
      <c r="B11" s="23" t="s">
        <v>706</v>
      </c>
      <c r="C11" s="54">
        <v>8.4</v>
      </c>
      <c r="D11" s="54">
        <v>2.3</v>
      </c>
      <c r="E11" s="54">
        <f aca="true" t="shared" si="0" ref="E11:E16">(C11*1000)/D11</f>
        <v>3652.1739130434785</v>
      </c>
      <c r="G11" s="54">
        <f aca="true" t="shared" si="1" ref="G11:I16">LOG(C11)</f>
        <v>0.9242792860618817</v>
      </c>
      <c r="H11" s="54">
        <f t="shared" si="1"/>
        <v>0.36172783601759284</v>
      </c>
      <c r="I11" s="54">
        <f t="shared" si="1"/>
        <v>3.562551450044289</v>
      </c>
      <c r="M11" t="s">
        <v>189</v>
      </c>
      <c r="N11" t="s">
        <v>190</v>
      </c>
      <c r="P11" t="s">
        <v>711</v>
      </c>
      <c r="Q11" t="s">
        <v>691</v>
      </c>
      <c r="R11" t="s">
        <v>712</v>
      </c>
    </row>
    <row r="12" spans="1:22" ht="12.75">
      <c r="A12" s="23">
        <v>2</v>
      </c>
      <c r="B12" s="23" t="s">
        <v>707</v>
      </c>
      <c r="C12" s="54">
        <v>8.3</v>
      </c>
      <c r="D12" s="54">
        <v>1.7</v>
      </c>
      <c r="E12" s="54">
        <f t="shared" si="0"/>
        <v>4882.35294117647</v>
      </c>
      <c r="G12" s="54">
        <f t="shared" si="1"/>
        <v>0.919078092376074</v>
      </c>
      <c r="H12" s="54">
        <f t="shared" si="1"/>
        <v>0.2304489213782739</v>
      </c>
      <c r="I12" s="54">
        <f t="shared" si="1"/>
        <v>3.6886291709978</v>
      </c>
      <c r="L12">
        <v>1</v>
      </c>
      <c r="M12">
        <f aca="true" t="shared" si="2" ref="M12:M17">(L12-3/8)/6.25</f>
        <v>0.1</v>
      </c>
      <c r="N12">
        <f aca="true" t="shared" si="3" ref="N12:N17">NORMSINV(M12)</f>
        <v>-1.2815519393373522</v>
      </c>
      <c r="P12">
        <v>8.3</v>
      </c>
      <c r="Q12">
        <v>0.6</v>
      </c>
      <c r="R12">
        <v>3652.1739130434785</v>
      </c>
      <c r="T12">
        <v>0.919078092376074</v>
      </c>
      <c r="U12">
        <v>-0.2218487496163564</v>
      </c>
      <c r="V12">
        <v>3.562551450044289</v>
      </c>
    </row>
    <row r="13" spans="1:22" ht="12.75">
      <c r="A13" s="23">
        <v>3</v>
      </c>
      <c r="B13" s="23" t="s">
        <v>863</v>
      </c>
      <c r="C13" s="54">
        <v>14.1</v>
      </c>
      <c r="D13" s="54">
        <v>1.9</v>
      </c>
      <c r="E13" s="54">
        <f t="shared" si="0"/>
        <v>7421.0526315789475</v>
      </c>
      <c r="G13" s="54">
        <f t="shared" si="1"/>
        <v>1.14921911265538</v>
      </c>
      <c r="H13" s="54">
        <f t="shared" si="1"/>
        <v>0.2787536009528289</v>
      </c>
      <c r="I13" s="54">
        <f t="shared" si="1"/>
        <v>3.870465511702551</v>
      </c>
      <c r="L13">
        <v>2</v>
      </c>
      <c r="M13">
        <f t="shared" si="2"/>
        <v>0.26</v>
      </c>
      <c r="N13">
        <f t="shared" si="3"/>
        <v>-0.6433452029738813</v>
      </c>
      <c r="P13">
        <v>8.4</v>
      </c>
      <c r="Q13">
        <v>1.7</v>
      </c>
      <c r="R13">
        <v>4882.35294117647</v>
      </c>
      <c r="T13">
        <v>0.9242792860618817</v>
      </c>
      <c r="U13">
        <v>0.2304489213782739</v>
      </c>
      <c r="V13">
        <v>3.6886291709978</v>
      </c>
    </row>
    <row r="14" spans="1:22" ht="12.75">
      <c r="A14" s="23">
        <v>4</v>
      </c>
      <c r="B14" s="23" t="s">
        <v>708</v>
      </c>
      <c r="C14" s="54">
        <v>9.1</v>
      </c>
      <c r="D14" s="54">
        <v>0.6</v>
      </c>
      <c r="E14" s="54">
        <f t="shared" si="0"/>
        <v>15166.666666666668</v>
      </c>
      <c r="G14" s="54">
        <f t="shared" si="1"/>
        <v>0.9590413923210935</v>
      </c>
      <c r="H14" s="54">
        <f t="shared" si="1"/>
        <v>-0.2218487496163564</v>
      </c>
      <c r="I14" s="54">
        <f t="shared" si="1"/>
        <v>4.18089014193745</v>
      </c>
      <c r="L14">
        <v>3</v>
      </c>
      <c r="M14">
        <f t="shared" si="2"/>
        <v>0.42</v>
      </c>
      <c r="N14">
        <f t="shared" si="3"/>
        <v>-0.2018935396792244</v>
      </c>
      <c r="P14">
        <v>9.1</v>
      </c>
      <c r="Q14">
        <v>1.9</v>
      </c>
      <c r="R14">
        <v>4937.5</v>
      </c>
      <c r="T14">
        <v>0.9590413923210935</v>
      </c>
      <c r="U14">
        <v>0.2787536009528289</v>
      </c>
      <c r="V14">
        <v>3.693507108634517</v>
      </c>
    </row>
    <row r="15" spans="1:22" ht="12.75">
      <c r="A15" s="23">
        <v>5</v>
      </c>
      <c r="B15" s="23" t="s">
        <v>709</v>
      </c>
      <c r="C15" s="54">
        <v>15.8</v>
      </c>
      <c r="D15" s="54">
        <v>3.2</v>
      </c>
      <c r="E15" s="54">
        <f t="shared" si="0"/>
        <v>4937.5</v>
      </c>
      <c r="G15" s="54">
        <f t="shared" si="1"/>
        <v>1.1986570869544226</v>
      </c>
      <c r="H15" s="54">
        <f t="shared" si="1"/>
        <v>0.505149978319906</v>
      </c>
      <c r="I15" s="54">
        <f t="shared" si="1"/>
        <v>3.693507108634517</v>
      </c>
      <c r="L15">
        <v>4</v>
      </c>
      <c r="M15">
        <f t="shared" si="2"/>
        <v>0.58</v>
      </c>
      <c r="N15">
        <f t="shared" si="3"/>
        <v>0.20189353967922397</v>
      </c>
      <c r="P15">
        <v>14.1</v>
      </c>
      <c r="Q15">
        <v>2.3</v>
      </c>
      <c r="R15">
        <v>6064.516129032258</v>
      </c>
      <c r="T15">
        <v>1.14921911265538</v>
      </c>
      <c r="U15">
        <v>0.36172783601759284</v>
      </c>
      <c r="V15">
        <v>3.782796155429407</v>
      </c>
    </row>
    <row r="16" spans="1:22" ht="12.75">
      <c r="A16" s="23">
        <v>6</v>
      </c>
      <c r="B16" s="23" t="s">
        <v>710</v>
      </c>
      <c r="C16" s="54">
        <v>18.8</v>
      </c>
      <c r="D16" s="54">
        <v>3.1</v>
      </c>
      <c r="E16" s="54">
        <f t="shared" si="0"/>
        <v>6064.516129032258</v>
      </c>
      <c r="G16" s="54">
        <f t="shared" si="1"/>
        <v>1.2741578492636798</v>
      </c>
      <c r="H16" s="54">
        <f t="shared" si="1"/>
        <v>0.4913616938342727</v>
      </c>
      <c r="I16" s="54">
        <f t="shared" si="1"/>
        <v>3.782796155429407</v>
      </c>
      <c r="L16">
        <v>5</v>
      </c>
      <c r="M16">
        <f t="shared" si="2"/>
        <v>0.74</v>
      </c>
      <c r="N16">
        <f t="shared" si="3"/>
        <v>0.6433452029738806</v>
      </c>
      <c r="P16">
        <v>15.8</v>
      </c>
      <c r="Q16">
        <v>3.1</v>
      </c>
      <c r="R16">
        <v>7421.0526315789475</v>
      </c>
      <c r="T16">
        <v>1.1986570869544226</v>
      </c>
      <c r="U16">
        <v>0.4913616938342727</v>
      </c>
      <c r="V16">
        <v>3.870465511702551</v>
      </c>
    </row>
    <row r="17" spans="12:22" ht="12.75">
      <c r="L17">
        <v>6</v>
      </c>
      <c r="M17">
        <f t="shared" si="2"/>
        <v>0.9</v>
      </c>
      <c r="N17">
        <f t="shared" si="3"/>
        <v>1.2815519393373522</v>
      </c>
      <c r="P17">
        <v>18.8</v>
      </c>
      <c r="Q17">
        <v>3.2</v>
      </c>
      <c r="R17">
        <v>15166.666666666668</v>
      </c>
      <c r="T17">
        <v>1.2741578492636798</v>
      </c>
      <c r="U17">
        <v>0.505149978319906</v>
      </c>
      <c r="V17">
        <v>4.18089014193745</v>
      </c>
    </row>
    <row r="18" spans="1:9" ht="12.75">
      <c r="A18" t="s">
        <v>134</v>
      </c>
      <c r="C18">
        <f>AVERAGE(C11:C16)</f>
        <v>12.416666666666666</v>
      </c>
      <c r="D18">
        <f>AVERAGE(D11:D16)</f>
        <v>2.1333333333333333</v>
      </c>
      <c r="E18">
        <f>AVERAGE(E11:E16)</f>
        <v>7020.710380249638</v>
      </c>
      <c r="G18">
        <f>AVERAGE(G11:G16)</f>
        <v>1.0707388032720886</v>
      </c>
      <c r="H18">
        <f>AVERAGE(H11:H16)</f>
        <v>0.27426554681441967</v>
      </c>
      <c r="I18">
        <f>AVERAGE(I11:I16)</f>
        <v>3.7964732564576686</v>
      </c>
    </row>
    <row r="19" spans="1:9" ht="12.75">
      <c r="A19" t="s">
        <v>135</v>
      </c>
      <c r="C19">
        <f>STDEV(C11:C16)</f>
        <v>4.452153037201966</v>
      </c>
      <c r="D19">
        <f>STDEV(D11:D16)</f>
        <v>0.9688481133111979</v>
      </c>
      <c r="E19">
        <f>STDEV(E11:E16)</f>
        <v>4187.852937747333</v>
      </c>
      <c r="G19" s="1">
        <f>STDEV(G11:G16)</f>
        <v>0.1554536764167053</v>
      </c>
      <c r="H19" s="1">
        <f>STDEV(H11:H16)</f>
        <v>0.26689227947346156</v>
      </c>
      <c r="I19" s="1">
        <f>STDEV(I11:I16)</f>
        <v>0.2146578881162673</v>
      </c>
    </row>
    <row r="20" spans="1:5" ht="12.75">
      <c r="A20" t="s">
        <v>136</v>
      </c>
      <c r="C20">
        <f>COUNT(C11:C16)</f>
        <v>6</v>
      </c>
      <c r="D20">
        <f>COUNT(D11:D16)</f>
        <v>6</v>
      </c>
      <c r="E20">
        <f>COUNT(E11:E16)</f>
        <v>6</v>
      </c>
    </row>
    <row r="21" spans="1:5" ht="12.75">
      <c r="A21" t="s">
        <v>137</v>
      </c>
      <c r="C21">
        <f>(C19/C20^0.5)</f>
        <v>1.8175838663211983</v>
      </c>
      <c r="D21">
        <f>(D19/D20^0.5)</f>
        <v>0.39553058597843566</v>
      </c>
      <c r="E21">
        <f>(E19/E20^0.5)</f>
        <v>1709.6838025494155</v>
      </c>
    </row>
    <row r="22" spans="1:5" ht="12.75">
      <c r="A22" t="s">
        <v>138</v>
      </c>
      <c r="C22" s="1">
        <f>C19/C18</f>
        <v>0.3585626607142523</v>
      </c>
      <c r="D22" s="1">
        <f>D19/D18</f>
        <v>0.454147553114624</v>
      </c>
      <c r="E22" s="1">
        <f>E19/E18</f>
        <v>0.5964998854714791</v>
      </c>
    </row>
  </sheetData>
  <printOptions/>
  <pageMargins left="0.75" right="0.75" top="1" bottom="1" header="0.5" footer="0.5"/>
  <pageSetup orientation="portrait"/>
  <drawing r:id="rId1"/>
</worksheet>
</file>

<file path=xl/worksheets/sheet50.xml><?xml version="1.0" encoding="utf-8"?>
<worksheet xmlns="http://schemas.openxmlformats.org/spreadsheetml/2006/main" xmlns:r="http://schemas.openxmlformats.org/officeDocument/2006/relationships">
  <dimension ref="B2:I14"/>
  <sheetViews>
    <sheetView showRowColHeaders="0" defaultGridColor="0" colorId="9" workbookViewId="0" topLeftCell="A2">
      <selection activeCell="D12" sqref="D12"/>
    </sheetView>
  </sheetViews>
  <sheetFormatPr defaultColWidth="9.140625" defaultRowHeight="12.75"/>
  <cols>
    <col min="1" max="1" width="1.7109375" style="36" customWidth="1"/>
    <col min="2" max="2" width="24.7109375" style="36" customWidth="1"/>
    <col min="3" max="7" width="11.00390625" style="36" customWidth="1"/>
    <col min="8" max="8" width="11.00390625" style="37" customWidth="1"/>
    <col min="9" max="9" width="5.421875" style="37" customWidth="1"/>
    <col min="10" max="16384" width="11.140625" style="37" customWidth="1"/>
  </cols>
  <sheetData>
    <row r="1" s="25" customFormat="1" ht="0.75" customHeight="1"/>
    <row r="2" spans="8:9" s="26" customFormat="1" ht="10.5" customHeight="1">
      <c r="H2" s="27"/>
      <c r="I2" s="27" t="s">
        <v>479</v>
      </c>
    </row>
    <row r="3" spans="2:3" s="25" customFormat="1" ht="12" customHeight="1">
      <c r="B3" s="28" t="s">
        <v>480</v>
      </c>
      <c r="C3" s="29" t="s">
        <v>481</v>
      </c>
    </row>
    <row r="4" spans="2:3" s="25" customFormat="1" ht="12" customHeight="1">
      <c r="B4" s="30"/>
      <c r="C4" s="31" t="s">
        <v>482</v>
      </c>
    </row>
    <row r="5" spans="2:3" s="25" customFormat="1" ht="12" customHeight="1">
      <c r="B5" s="30" t="s">
        <v>483</v>
      </c>
      <c r="C5" s="31" t="s">
        <v>382</v>
      </c>
    </row>
    <row r="6" spans="2:9" s="25" customFormat="1" ht="15.75" customHeight="1">
      <c r="B6" s="28" t="s">
        <v>484</v>
      </c>
      <c r="C6" s="31" t="s">
        <v>485</v>
      </c>
      <c r="G6" s="28" t="s">
        <v>486</v>
      </c>
      <c r="H6" s="32">
        <v>38854.769101273145</v>
      </c>
      <c r="I6" s="33"/>
    </row>
    <row r="7" spans="2:7" s="35" customFormat="1" ht="1.5" customHeight="1" thickBot="1">
      <c r="B7" s="34"/>
      <c r="G7" s="34"/>
    </row>
    <row r="8" ht="42" customHeight="1"/>
    <row r="9" spans="2:4" ht="12">
      <c r="B9" s="38" t="s">
        <v>487</v>
      </c>
      <c r="C9" s="39">
        <v>6</v>
      </c>
      <c r="D9" s="40" t="s">
        <v>482</v>
      </c>
    </row>
    <row r="10" ht="36" customHeight="1"/>
    <row r="11" spans="2:3" ht="12">
      <c r="B11" s="41" t="s">
        <v>489</v>
      </c>
      <c r="C11" s="42">
        <v>0.03539328251836602</v>
      </c>
    </row>
    <row r="12" spans="2:5" ht="12">
      <c r="B12" s="38" t="s">
        <v>490</v>
      </c>
      <c r="C12" s="43">
        <v>-0.7991217876529485</v>
      </c>
      <c r="E12" s="40" t="s">
        <v>482</v>
      </c>
    </row>
    <row r="14" spans="2:4" ht="12">
      <c r="B14" s="38" t="s">
        <v>491</v>
      </c>
      <c r="C14" s="45">
        <v>0.9469322445297279</v>
      </c>
      <c r="D14" s="40" t="s">
        <v>492</v>
      </c>
    </row>
    <row r="15" ht="36" customHeight="1"/>
  </sheetData>
  <printOptions horizontalCentered="1"/>
  <pageMargins left="0.1968503937007874" right="0.1968503937007874" top="0.5118110236220472" bottom="0.984251968503937" header="0.5118110236220472" footer="0.5118110236220472"/>
  <pageSetup blackAndWhite="1" horizontalDpi="300" verticalDpi="300" orientation="portrait"/>
  <headerFooter alignWithMargins="0">
    <oddFooter>&amp;CPage &amp;P of &amp;N</oddFooter>
  </headerFooter>
  <drawing r:id="rId1"/>
</worksheet>
</file>

<file path=xl/worksheets/sheet51.xml><?xml version="1.0" encoding="utf-8"?>
<worksheet xmlns="http://schemas.openxmlformats.org/spreadsheetml/2006/main" xmlns:r="http://schemas.openxmlformats.org/officeDocument/2006/relationships">
  <dimension ref="B2:I14"/>
  <sheetViews>
    <sheetView showRowColHeaders="0" defaultGridColor="0" colorId="9" workbookViewId="0" topLeftCell="A2">
      <selection activeCell="D12" sqref="D12"/>
    </sheetView>
  </sheetViews>
  <sheetFormatPr defaultColWidth="9.140625" defaultRowHeight="12.75"/>
  <cols>
    <col min="1" max="1" width="1.7109375" style="36" customWidth="1"/>
    <col min="2" max="2" width="24.7109375" style="36" customWidth="1"/>
    <col min="3" max="7" width="11.00390625" style="36" customWidth="1"/>
    <col min="8" max="8" width="11.00390625" style="37" customWidth="1"/>
    <col min="9" max="9" width="5.421875" style="37" customWidth="1"/>
    <col min="10" max="16384" width="11.140625" style="37" customWidth="1"/>
  </cols>
  <sheetData>
    <row r="1" s="25" customFormat="1" ht="0.75" customHeight="1"/>
    <row r="2" spans="8:9" s="26" customFormat="1" ht="10.5" customHeight="1">
      <c r="H2" s="27"/>
      <c r="I2" s="27" t="s">
        <v>479</v>
      </c>
    </row>
    <row r="3" spans="2:3" s="25" customFormat="1" ht="12" customHeight="1">
      <c r="B3" s="28" t="s">
        <v>480</v>
      </c>
      <c r="C3" s="29" t="s">
        <v>481</v>
      </c>
    </row>
    <row r="4" spans="2:3" s="25" customFormat="1" ht="12" customHeight="1">
      <c r="B4" s="30"/>
      <c r="C4" s="31" t="s">
        <v>482</v>
      </c>
    </row>
    <row r="5" spans="2:3" s="25" customFormat="1" ht="12" customHeight="1">
      <c r="B5" s="30" t="s">
        <v>483</v>
      </c>
      <c r="C5" s="31" t="s">
        <v>384</v>
      </c>
    </row>
    <row r="6" spans="2:9" s="25" customFormat="1" ht="15.75" customHeight="1">
      <c r="B6" s="28" t="s">
        <v>484</v>
      </c>
      <c r="C6" s="31" t="s">
        <v>485</v>
      </c>
      <c r="G6" s="28" t="s">
        <v>486</v>
      </c>
      <c r="H6" s="32">
        <v>38854.774699421294</v>
      </c>
      <c r="I6" s="33"/>
    </row>
    <row r="7" spans="2:7" s="35" customFormat="1" ht="1.5" customHeight="1" thickBot="1">
      <c r="B7" s="34"/>
      <c r="G7" s="34"/>
    </row>
    <row r="8" ht="42" customHeight="1"/>
    <row r="9" spans="2:4" ht="12">
      <c r="B9" s="38" t="s">
        <v>487</v>
      </c>
      <c r="C9" s="39">
        <v>5</v>
      </c>
      <c r="D9" s="40" t="s">
        <v>482</v>
      </c>
    </row>
    <row r="10" ht="36" customHeight="1"/>
    <row r="11" spans="2:3" ht="12">
      <c r="B11" s="41" t="s">
        <v>489</v>
      </c>
      <c r="C11" s="42">
        <v>0.8640149811832615</v>
      </c>
    </row>
    <row r="12" spans="2:5" ht="12">
      <c r="B12" s="38" t="s">
        <v>490</v>
      </c>
      <c r="C12" s="43">
        <v>-0.0767806250462494</v>
      </c>
      <c r="D12" s="44">
        <v>0.9909152332441128</v>
      </c>
      <c r="E12" s="40" t="s">
        <v>482</v>
      </c>
    </row>
    <row r="14" spans="2:4" ht="12">
      <c r="B14" s="38" t="s">
        <v>491</v>
      </c>
      <c r="C14" s="45">
        <v>0.058953203399221055</v>
      </c>
      <c r="D14" s="40" t="s">
        <v>492</v>
      </c>
    </row>
    <row r="15" ht="36" customHeight="1"/>
  </sheetData>
  <printOptions horizontalCentered="1"/>
  <pageMargins left="0.1968503937007874" right="0.1968503937007874" top="0.5118110236220472" bottom="0.984251968503937" header="0.5118110236220472" footer="0.5118110236220472"/>
  <pageSetup blackAndWhite="1" horizontalDpi="300" verticalDpi="300" orientation="portrait"/>
  <headerFooter alignWithMargins="0">
    <oddFooter>&amp;CPage &amp;P of &amp;N</oddFooter>
  </headerFooter>
  <drawing r:id="rId1"/>
</worksheet>
</file>

<file path=xl/worksheets/sheet52.xml><?xml version="1.0" encoding="utf-8"?>
<worksheet xmlns="http://schemas.openxmlformats.org/spreadsheetml/2006/main" xmlns:r="http://schemas.openxmlformats.org/officeDocument/2006/relationships">
  <dimension ref="B2:I14"/>
  <sheetViews>
    <sheetView showRowColHeaders="0" defaultGridColor="0" colorId="9" workbookViewId="0" topLeftCell="A4">
      <selection activeCell="B9" sqref="B9:D14"/>
    </sheetView>
  </sheetViews>
  <sheetFormatPr defaultColWidth="9.140625" defaultRowHeight="12.75"/>
  <cols>
    <col min="1" max="1" width="1.7109375" style="36" customWidth="1"/>
    <col min="2" max="2" width="24.7109375" style="36" customWidth="1"/>
    <col min="3" max="7" width="11.00390625" style="36" customWidth="1"/>
    <col min="8" max="8" width="11.00390625" style="37" customWidth="1"/>
    <col min="9" max="9" width="5.421875" style="37" customWidth="1"/>
    <col min="10" max="16384" width="11.140625" style="37" customWidth="1"/>
  </cols>
  <sheetData>
    <row r="1" s="25" customFormat="1" ht="0.75" customHeight="1"/>
    <row r="2" spans="8:9" s="26" customFormat="1" ht="10.5" customHeight="1">
      <c r="H2" s="27"/>
      <c r="I2" s="27" t="s">
        <v>479</v>
      </c>
    </row>
    <row r="3" spans="2:3" s="25" customFormat="1" ht="12" customHeight="1">
      <c r="B3" s="28" t="s">
        <v>480</v>
      </c>
      <c r="C3" s="29" t="s">
        <v>481</v>
      </c>
    </row>
    <row r="4" spans="2:3" s="25" customFormat="1" ht="12" customHeight="1">
      <c r="B4" s="30"/>
      <c r="C4" s="31" t="s">
        <v>482</v>
      </c>
    </row>
    <row r="5" spans="2:3" s="25" customFormat="1" ht="12" customHeight="1">
      <c r="B5" s="30" t="s">
        <v>483</v>
      </c>
      <c r="C5" s="31" t="s">
        <v>386</v>
      </c>
    </row>
    <row r="6" spans="2:9" s="25" customFormat="1" ht="15.75" customHeight="1">
      <c r="B6" s="28" t="s">
        <v>484</v>
      </c>
      <c r="C6" s="31" t="s">
        <v>485</v>
      </c>
      <c r="G6" s="28" t="s">
        <v>486</v>
      </c>
      <c r="H6" s="32">
        <v>38854.77591087963</v>
      </c>
      <c r="I6" s="33"/>
    </row>
    <row r="7" spans="2:7" s="35" customFormat="1" ht="1.5" customHeight="1" thickBot="1">
      <c r="B7" s="34"/>
      <c r="G7" s="34"/>
    </row>
    <row r="8" ht="42" customHeight="1"/>
    <row r="9" spans="2:4" ht="12">
      <c r="B9" s="38" t="s">
        <v>487</v>
      </c>
      <c r="C9" s="39">
        <v>7</v>
      </c>
      <c r="D9" s="40" t="s">
        <v>385</v>
      </c>
    </row>
    <row r="10" ht="36" customHeight="1"/>
    <row r="11" spans="2:3" ht="12">
      <c r="B11" s="41" t="s">
        <v>489</v>
      </c>
      <c r="C11" s="42">
        <v>-0.09039879032717435</v>
      </c>
    </row>
    <row r="12" spans="2:5" ht="12">
      <c r="B12" s="38" t="s">
        <v>490</v>
      </c>
      <c r="C12" s="43">
        <v>-0.7896977600439443</v>
      </c>
      <c r="D12" s="44">
        <v>0.7110654426944416</v>
      </c>
      <c r="E12" s="40" t="s">
        <v>482</v>
      </c>
    </row>
    <row r="14" spans="2:4" ht="12">
      <c r="B14" s="38" t="s">
        <v>491</v>
      </c>
      <c r="C14" s="45">
        <v>0.8471605343170308</v>
      </c>
      <c r="D14" s="40" t="s">
        <v>492</v>
      </c>
    </row>
    <row r="15" ht="36" customHeight="1"/>
  </sheetData>
  <printOptions horizontalCentered="1"/>
  <pageMargins left="0.1968503937007874" right="0.1968503937007874" top="0.5118110236220472" bottom="0.984251968503937" header="0.5118110236220472" footer="0.5118110236220472"/>
  <pageSetup blackAndWhite="1" horizontalDpi="300" verticalDpi="300" orientation="portrait"/>
  <headerFooter alignWithMargins="0">
    <oddFooter>&amp;CPage &amp;P of &amp;N</oddFooter>
  </headerFooter>
  <drawing r:id="rId1"/>
</worksheet>
</file>

<file path=xl/worksheets/sheet53.xml><?xml version="1.0" encoding="utf-8"?>
<worksheet xmlns="http://schemas.openxmlformats.org/spreadsheetml/2006/main" xmlns:r="http://schemas.openxmlformats.org/officeDocument/2006/relationships">
  <dimension ref="B2:I14"/>
  <sheetViews>
    <sheetView showRowColHeaders="0" defaultGridColor="0" colorId="9" workbookViewId="0" topLeftCell="A7">
      <selection activeCell="C9" sqref="C9:C14"/>
    </sheetView>
  </sheetViews>
  <sheetFormatPr defaultColWidth="9.140625" defaultRowHeight="12.75"/>
  <cols>
    <col min="1" max="1" width="1.7109375" style="36" customWidth="1"/>
    <col min="2" max="2" width="24.7109375" style="36" customWidth="1"/>
    <col min="3" max="7" width="11.00390625" style="36" customWidth="1"/>
    <col min="8" max="8" width="11.00390625" style="37" customWidth="1"/>
    <col min="9" max="9" width="5.421875" style="37" customWidth="1"/>
    <col min="10" max="16384" width="11.140625" style="37" customWidth="1"/>
  </cols>
  <sheetData>
    <row r="1" s="25" customFormat="1" ht="0.75" customHeight="1"/>
    <row r="2" spans="8:9" s="26" customFormat="1" ht="10.5" customHeight="1">
      <c r="H2" s="27"/>
      <c r="I2" s="27" t="s">
        <v>479</v>
      </c>
    </row>
    <row r="3" spans="2:3" s="25" customFormat="1" ht="12" customHeight="1">
      <c r="B3" s="28" t="s">
        <v>480</v>
      </c>
      <c r="C3" s="29" t="s">
        <v>481</v>
      </c>
    </row>
    <row r="4" spans="2:3" s="25" customFormat="1" ht="12" customHeight="1">
      <c r="B4" s="30"/>
      <c r="C4" s="31" t="s">
        <v>387</v>
      </c>
    </row>
    <row r="5" spans="2:3" s="25" customFormat="1" ht="12" customHeight="1">
      <c r="B5" s="30" t="s">
        <v>483</v>
      </c>
      <c r="C5" s="31" t="s">
        <v>388</v>
      </c>
    </row>
    <row r="6" spans="2:9" s="25" customFormat="1" ht="15.75" customHeight="1">
      <c r="B6" s="28" t="s">
        <v>484</v>
      </c>
      <c r="C6" s="31" t="s">
        <v>485</v>
      </c>
      <c r="G6" s="28" t="s">
        <v>486</v>
      </c>
      <c r="H6" s="32">
        <v>38854.77717893518</v>
      </c>
      <c r="I6" s="33"/>
    </row>
    <row r="7" spans="2:7" s="35" customFormat="1" ht="1.5" customHeight="1" thickBot="1">
      <c r="B7" s="34"/>
      <c r="G7" s="34"/>
    </row>
    <row r="8" ht="42" customHeight="1"/>
    <row r="9" spans="2:4" ht="12">
      <c r="B9" s="38" t="s">
        <v>487</v>
      </c>
      <c r="C9" s="39">
        <v>6</v>
      </c>
      <c r="D9" s="40" t="s">
        <v>482</v>
      </c>
    </row>
    <row r="10" ht="36" customHeight="1"/>
    <row r="11" spans="2:3" ht="12">
      <c r="B11" s="41" t="s">
        <v>489</v>
      </c>
      <c r="C11" s="42">
        <v>-0.17716853958323753</v>
      </c>
    </row>
    <row r="12" spans="2:5" ht="12">
      <c r="B12" s="38" t="s">
        <v>490</v>
      </c>
      <c r="C12" s="43">
        <v>-0.8644381656528921</v>
      </c>
      <c r="D12" s="44">
        <v>0.7409252469258482</v>
      </c>
      <c r="E12" s="40" t="s">
        <v>482</v>
      </c>
    </row>
    <row r="14" spans="2:4" ht="12">
      <c r="B14" s="38" t="s">
        <v>491</v>
      </c>
      <c r="C14" s="45">
        <v>0.7370277349341268</v>
      </c>
      <c r="D14" s="40" t="s">
        <v>492</v>
      </c>
    </row>
    <row r="15" ht="36" customHeight="1"/>
  </sheetData>
  <printOptions horizontalCentered="1"/>
  <pageMargins left="0.1968503937007874" right="0.1968503937007874" top="0.5118110236220472" bottom="0.984251968503937" header="0.5118110236220472" footer="0.5118110236220472"/>
  <pageSetup blackAndWhite="1" horizontalDpi="300" verticalDpi="300" orientation="portrait"/>
  <headerFooter alignWithMargins="0">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U27"/>
  <sheetViews>
    <sheetView workbookViewId="0" topLeftCell="A1">
      <pane xSplit="13575" topLeftCell="L1" activePane="topLeft" state="split"/>
      <selection pane="topLeft" activeCell="A2" sqref="A2:IV3"/>
      <selection pane="topRight" activeCell="L1" sqref="L1"/>
    </sheetView>
  </sheetViews>
  <sheetFormatPr defaultColWidth="9.140625" defaultRowHeight="12.75"/>
  <cols>
    <col min="1" max="4" width="8.8515625" style="0" customWidth="1"/>
    <col min="5" max="5" width="12.7109375" style="0" customWidth="1"/>
    <col min="6" max="6" width="16.7109375" style="0" customWidth="1"/>
    <col min="7" max="8" width="8.8515625" style="0" customWidth="1"/>
    <col min="9" max="9" width="19.140625" style="0" customWidth="1"/>
    <col min="10" max="11" width="8.8515625" style="0" customWidth="1"/>
    <col min="12" max="12" width="11.421875" style="0" customWidth="1"/>
    <col min="13" max="16384" width="8.8515625" style="0" customWidth="1"/>
  </cols>
  <sheetData>
    <row r="1" spans="1:21" ht="63.75">
      <c r="A1" s="7" t="s">
        <v>69</v>
      </c>
      <c r="B1" s="7" t="s">
        <v>57</v>
      </c>
      <c r="C1" s="7" t="s">
        <v>58</v>
      </c>
      <c r="D1" s="7" t="s">
        <v>59</v>
      </c>
      <c r="E1" s="7" t="s">
        <v>60</v>
      </c>
      <c r="F1" s="7" t="s">
        <v>92</v>
      </c>
      <c r="G1" s="7" t="s">
        <v>61</v>
      </c>
      <c r="H1" s="7" t="s">
        <v>62</v>
      </c>
      <c r="I1" s="7" t="s">
        <v>63</v>
      </c>
      <c r="J1" s="8" t="s">
        <v>64</v>
      </c>
      <c r="K1" s="8" t="s">
        <v>138</v>
      </c>
      <c r="L1" s="7" t="s">
        <v>1126</v>
      </c>
      <c r="M1" s="7" t="s">
        <v>1127</v>
      </c>
      <c r="N1" s="7" t="s">
        <v>66</v>
      </c>
      <c r="O1" s="7" t="s">
        <v>85</v>
      </c>
      <c r="P1" s="7" t="s">
        <v>67</v>
      </c>
      <c r="Q1" s="7" t="s">
        <v>68</v>
      </c>
      <c r="R1" s="10"/>
      <c r="S1" s="10"/>
      <c r="T1" s="10"/>
      <c r="U1" s="10"/>
    </row>
    <row r="2" spans="1:16" ht="12.75">
      <c r="A2">
        <v>267</v>
      </c>
      <c r="B2" t="s">
        <v>680</v>
      </c>
      <c r="D2" t="s">
        <v>1114</v>
      </c>
      <c r="E2" t="s">
        <v>681</v>
      </c>
      <c r="G2" t="s">
        <v>102</v>
      </c>
      <c r="H2" t="s">
        <v>103</v>
      </c>
      <c r="I2" t="s">
        <v>678</v>
      </c>
      <c r="J2">
        <v>0.45492801105328384</v>
      </c>
      <c r="K2" s="1">
        <v>1.0019674205838018</v>
      </c>
      <c r="L2" t="s">
        <v>87</v>
      </c>
      <c r="M2" t="s">
        <v>797</v>
      </c>
      <c r="N2" t="s">
        <v>95</v>
      </c>
      <c r="O2">
        <v>0.9623</v>
      </c>
      <c r="P2">
        <v>5</v>
      </c>
    </row>
    <row r="3" spans="1:16" ht="12.75">
      <c r="A3">
        <v>267</v>
      </c>
      <c r="B3" t="s">
        <v>680</v>
      </c>
      <c r="E3" t="s">
        <v>681</v>
      </c>
      <c r="G3" t="s">
        <v>102</v>
      </c>
      <c r="H3" t="s">
        <v>103</v>
      </c>
      <c r="I3" t="s">
        <v>679</v>
      </c>
      <c r="J3">
        <v>0.3000022651775823</v>
      </c>
      <c r="K3" s="1">
        <v>0.8351831321318284</v>
      </c>
      <c r="L3" t="s">
        <v>87</v>
      </c>
      <c r="M3" t="s">
        <v>797</v>
      </c>
      <c r="N3" t="s">
        <v>95</v>
      </c>
      <c r="O3">
        <v>0.848</v>
      </c>
      <c r="P3">
        <v>5</v>
      </c>
    </row>
    <row r="8" spans="1:8" ht="12.75">
      <c r="A8" t="s">
        <v>702</v>
      </c>
      <c r="B8" t="s">
        <v>804</v>
      </c>
      <c r="C8">
        <v>29</v>
      </c>
      <c r="D8">
        <v>6</v>
      </c>
      <c r="E8" t="s">
        <v>703</v>
      </c>
      <c r="F8">
        <v>2001</v>
      </c>
      <c r="H8">
        <v>267</v>
      </c>
    </row>
    <row r="9" spans="4:8" ht="12.75">
      <c r="D9" t="s">
        <v>687</v>
      </c>
      <c r="E9" t="s">
        <v>688</v>
      </c>
      <c r="H9" t="s">
        <v>687</v>
      </c>
    </row>
    <row r="10" spans="4:8" ht="12.75">
      <c r="D10" t="s">
        <v>689</v>
      </c>
      <c r="H10" t="s">
        <v>694</v>
      </c>
    </row>
    <row r="11" spans="4:10" ht="12.75">
      <c r="D11" t="s">
        <v>971</v>
      </c>
      <c r="E11" t="s">
        <v>691</v>
      </c>
      <c r="F11">
        <v>0.59</v>
      </c>
      <c r="H11" t="s">
        <v>971</v>
      </c>
      <c r="I11" t="s">
        <v>691</v>
      </c>
      <c r="J11">
        <v>0.29</v>
      </c>
    </row>
    <row r="12" spans="4:10" ht="12.75">
      <c r="D12" t="s">
        <v>970</v>
      </c>
      <c r="E12" t="s">
        <v>692</v>
      </c>
      <c r="F12">
        <v>0.46</v>
      </c>
      <c r="H12" t="s">
        <v>970</v>
      </c>
      <c r="I12" t="s">
        <v>692</v>
      </c>
      <c r="J12">
        <v>4</v>
      </c>
    </row>
    <row r="13" spans="4:10" ht="12.75">
      <c r="D13" t="s">
        <v>690</v>
      </c>
      <c r="E13" t="s">
        <v>693</v>
      </c>
      <c r="F13">
        <v>0.077</v>
      </c>
      <c r="H13" t="s">
        <v>690</v>
      </c>
      <c r="I13" t="s">
        <v>693</v>
      </c>
      <c r="J13">
        <v>0.013</v>
      </c>
    </row>
    <row r="15" spans="1:18" ht="12.75">
      <c r="A15" t="s">
        <v>682</v>
      </c>
      <c r="E15" t="s">
        <v>700</v>
      </c>
      <c r="I15" t="s">
        <v>700</v>
      </c>
      <c r="Q15" t="s">
        <v>607</v>
      </c>
      <c r="R15" t="s">
        <v>608</v>
      </c>
    </row>
    <row r="16" spans="5:20" ht="12.75">
      <c r="E16" t="s">
        <v>692</v>
      </c>
      <c r="I16" t="s">
        <v>692</v>
      </c>
      <c r="K16" t="s">
        <v>704</v>
      </c>
      <c r="L16" t="s">
        <v>705</v>
      </c>
      <c r="O16" t="s">
        <v>189</v>
      </c>
      <c r="P16" t="s">
        <v>190</v>
      </c>
      <c r="Q16" t="s">
        <v>692</v>
      </c>
      <c r="R16" t="s">
        <v>692</v>
      </c>
      <c r="S16" t="s">
        <v>704</v>
      </c>
      <c r="T16" t="s">
        <v>705</v>
      </c>
    </row>
    <row r="17" spans="2:20" ht="12.75">
      <c r="B17" t="s">
        <v>695</v>
      </c>
      <c r="C17" t="s">
        <v>982</v>
      </c>
      <c r="E17">
        <v>1</v>
      </c>
      <c r="I17">
        <v>0.5</v>
      </c>
      <c r="K17">
        <f>LOG(E17)</f>
        <v>0</v>
      </c>
      <c r="L17">
        <f>LOG(I17)</f>
        <v>-0.3010299956639812</v>
      </c>
      <c r="N17">
        <v>1</v>
      </c>
      <c r="O17">
        <f>(N17-3/8)/5.25</f>
        <v>0.11904761904761904</v>
      </c>
      <c r="P17">
        <f>NORMSINV(O17)</f>
        <v>-1.1797614123624593</v>
      </c>
      <c r="Q17">
        <v>1</v>
      </c>
      <c r="R17">
        <v>0.4</v>
      </c>
      <c r="S17" t="e">
        <f>LOG(M17)</f>
        <v>#NUM!</v>
      </c>
      <c r="T17">
        <f>LOG(Q17)</f>
        <v>0</v>
      </c>
    </row>
    <row r="18" spans="2:20" ht="12.75">
      <c r="B18" t="s">
        <v>696</v>
      </c>
      <c r="C18" t="s">
        <v>982</v>
      </c>
      <c r="E18">
        <v>7.2</v>
      </c>
      <c r="I18">
        <v>0.9</v>
      </c>
      <c r="K18">
        <f>LOG(E18)</f>
        <v>0.8573324964312685</v>
      </c>
      <c r="L18">
        <f>LOG(I18)</f>
        <v>-0.045757490560675115</v>
      </c>
      <c r="N18">
        <v>2</v>
      </c>
      <c r="O18">
        <f>(N18-3/8)/5.25</f>
        <v>0.30952380952380953</v>
      </c>
      <c r="P18">
        <f>NORMSINV(O18)</f>
        <v>-0.49720055769908633</v>
      </c>
      <c r="Q18">
        <v>3</v>
      </c>
      <c r="R18">
        <v>0.5</v>
      </c>
      <c r="S18" t="e">
        <f>LOG(M18)</f>
        <v>#NUM!</v>
      </c>
      <c r="T18">
        <f>LOG(Q18)</f>
        <v>0.47712125471966244</v>
      </c>
    </row>
    <row r="19" spans="2:20" ht="12.75">
      <c r="B19" t="s">
        <v>697</v>
      </c>
      <c r="C19" t="s">
        <v>982</v>
      </c>
      <c r="E19">
        <v>3</v>
      </c>
      <c r="I19">
        <v>0.5</v>
      </c>
      <c r="K19">
        <f>LOG(E19)</f>
        <v>0.47712125471966244</v>
      </c>
      <c r="L19">
        <f>LOG(I19)</f>
        <v>-0.3010299956639812</v>
      </c>
      <c r="N19">
        <v>3</v>
      </c>
      <c r="O19">
        <f>(N19-3/8)/5.25</f>
        <v>0.5</v>
      </c>
      <c r="P19">
        <f>NORMSINV(O19)</f>
        <v>5.471417352459603E-10</v>
      </c>
      <c r="Q19">
        <v>3</v>
      </c>
      <c r="R19">
        <v>0.5</v>
      </c>
      <c r="S19" t="e">
        <f>LOG(M19)</f>
        <v>#NUM!</v>
      </c>
      <c r="T19">
        <f>LOG(Q19)</f>
        <v>0.47712125471966244</v>
      </c>
    </row>
    <row r="20" spans="2:20" ht="12.75">
      <c r="B20" t="s">
        <v>698</v>
      </c>
      <c r="C20" t="s">
        <v>164</v>
      </c>
      <c r="E20">
        <v>3</v>
      </c>
      <c r="I20">
        <v>0.4</v>
      </c>
      <c r="K20">
        <f>LOG(E20)</f>
        <v>0.47712125471966244</v>
      </c>
      <c r="L20">
        <f>LOG(I20)</f>
        <v>-0.3979400086720376</v>
      </c>
      <c r="N20">
        <v>4</v>
      </c>
      <c r="O20">
        <f>(N20-3/8)/5.25</f>
        <v>0.6904761904761905</v>
      </c>
      <c r="P20">
        <f>NORMSINV(O20)</f>
        <v>0.49720055769908567</v>
      </c>
      <c r="Q20">
        <v>7.2</v>
      </c>
      <c r="R20">
        <v>0.9</v>
      </c>
      <c r="S20" t="e">
        <f>LOG(M20)</f>
        <v>#NUM!</v>
      </c>
      <c r="T20">
        <f>LOG(Q20)</f>
        <v>0.8573324964312685</v>
      </c>
    </row>
    <row r="21" spans="2:20" ht="12.75">
      <c r="B21" t="s">
        <v>699</v>
      </c>
      <c r="C21" t="s">
        <v>164</v>
      </c>
      <c r="E21">
        <v>16.2</v>
      </c>
      <c r="I21">
        <v>2.2</v>
      </c>
      <c r="K21">
        <f>LOG(E21)</f>
        <v>1.209515014542631</v>
      </c>
      <c r="L21">
        <f>LOG(I21)</f>
        <v>0.3424226808222063</v>
      </c>
      <c r="N21">
        <v>5</v>
      </c>
      <c r="O21">
        <f>(N21-3/8)/5.25</f>
        <v>0.8809523809523809</v>
      </c>
      <c r="P21">
        <f>NORMSINV(O21)</f>
        <v>1.1797614123624593</v>
      </c>
      <c r="Q21">
        <v>16.2</v>
      </c>
      <c r="R21">
        <v>2.2</v>
      </c>
      <c r="S21" t="e">
        <f>LOG(M21)</f>
        <v>#NUM!</v>
      </c>
      <c r="T21">
        <f>LOG(Q21)</f>
        <v>1.209515014542631</v>
      </c>
    </row>
    <row r="23" spans="3:12" ht="12.75">
      <c r="C23" t="s">
        <v>134</v>
      </c>
      <c r="E23">
        <f>AVERAGE(E17:E21)</f>
        <v>6.08</v>
      </c>
      <c r="F23" t="s">
        <v>701</v>
      </c>
      <c r="I23">
        <f>AVERAGE(I17:I21)</f>
        <v>0.9</v>
      </c>
      <c r="K23">
        <f>AVERAGE(K17:K21)</f>
        <v>0.6042180040826448</v>
      </c>
      <c r="L23">
        <f>AVERAGE(L17:L21)</f>
        <v>-0.1406669619476938</v>
      </c>
    </row>
    <row r="24" spans="3:12" ht="12.75">
      <c r="C24" t="s">
        <v>135</v>
      </c>
      <c r="E24">
        <f>STDEV(E17:E21)</f>
        <v>6.091961917149515</v>
      </c>
      <c r="I24">
        <f>STDEV(I17:I21)</f>
        <v>0.7516648189186456</v>
      </c>
      <c r="K24" s="1">
        <f>STDEV(K17:K21)</f>
        <v>0.45492801105328384</v>
      </c>
      <c r="L24" s="1">
        <f>STDEV(L17:L21)</f>
        <v>0.3000022651775823</v>
      </c>
    </row>
    <row r="25" spans="3:9" ht="12.75">
      <c r="C25" t="s">
        <v>136</v>
      </c>
      <c r="E25">
        <f>COUNT(E17:E21)</f>
        <v>5</v>
      </c>
      <c r="I25">
        <f>COUNT(I17:I21)</f>
        <v>5</v>
      </c>
    </row>
    <row r="26" spans="3:9" ht="12.75">
      <c r="C26" t="s">
        <v>137</v>
      </c>
      <c r="E26">
        <f>(E24/E25^0.5)</f>
        <v>2.7244081926172514</v>
      </c>
      <c r="I26">
        <f>(I24/I25^0.5)</f>
        <v>0.33615472627943227</v>
      </c>
    </row>
    <row r="27" spans="3:9" ht="12.75">
      <c r="C27" t="s">
        <v>138</v>
      </c>
      <c r="E27" s="1">
        <f>E24/E23</f>
        <v>1.0019674205838018</v>
      </c>
      <c r="F27" s="1"/>
      <c r="G27" s="1"/>
      <c r="H27" s="1"/>
      <c r="I27" s="1">
        <f>I24/I23</f>
        <v>0.8351831321318284</v>
      </c>
    </row>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Z35"/>
  <sheetViews>
    <sheetView workbookViewId="0" topLeftCell="A1">
      <selection activeCell="L32" sqref="L32"/>
    </sheetView>
  </sheetViews>
  <sheetFormatPr defaultColWidth="9.140625" defaultRowHeight="12.75"/>
  <cols>
    <col min="1" max="4" width="8.8515625" style="0" customWidth="1"/>
    <col min="5" max="5" width="14.00390625" style="0" customWidth="1"/>
    <col min="6" max="6" width="18.140625" style="0" customWidth="1"/>
    <col min="7" max="11" width="8.8515625" style="0" customWidth="1"/>
    <col min="12" max="12" width="18.7109375" style="0" customWidth="1"/>
    <col min="13" max="13" width="15.7109375" style="0" customWidth="1"/>
    <col min="14" max="16384" width="8.8515625" style="0" customWidth="1"/>
  </cols>
  <sheetData>
    <row r="1" spans="1:21" ht="63.75">
      <c r="A1" s="7" t="s">
        <v>69</v>
      </c>
      <c r="B1" s="7" t="s">
        <v>57</v>
      </c>
      <c r="C1" s="7" t="s">
        <v>58</v>
      </c>
      <c r="D1" s="7" t="s">
        <v>59</v>
      </c>
      <c r="E1" s="7" t="s">
        <v>60</v>
      </c>
      <c r="F1" s="7" t="s">
        <v>92</v>
      </c>
      <c r="G1" s="7" t="s">
        <v>61</v>
      </c>
      <c r="H1" s="7" t="s">
        <v>62</v>
      </c>
      <c r="I1" s="7" t="s">
        <v>63</v>
      </c>
      <c r="J1" s="8" t="s">
        <v>64</v>
      </c>
      <c r="K1" s="8" t="s">
        <v>138</v>
      </c>
      <c r="L1" s="7" t="s">
        <v>1126</v>
      </c>
      <c r="M1" s="7" t="s">
        <v>1127</v>
      </c>
      <c r="N1" s="7" t="s">
        <v>66</v>
      </c>
      <c r="O1" s="7" t="s">
        <v>85</v>
      </c>
      <c r="P1" s="7" t="s">
        <v>67</v>
      </c>
      <c r="Q1" s="7" t="s">
        <v>68</v>
      </c>
      <c r="R1" s="10"/>
      <c r="S1" s="10"/>
      <c r="T1" s="10"/>
      <c r="U1" s="10"/>
    </row>
    <row r="2" spans="2:16" ht="12.75">
      <c r="B2" t="s">
        <v>684</v>
      </c>
      <c r="D2" t="s">
        <v>685</v>
      </c>
      <c r="E2" t="s">
        <v>798</v>
      </c>
      <c r="F2" t="s">
        <v>799</v>
      </c>
      <c r="G2" t="s">
        <v>102</v>
      </c>
      <c r="H2" t="s">
        <v>94</v>
      </c>
      <c r="I2" t="s">
        <v>686</v>
      </c>
      <c r="J2">
        <v>0.4213140905125548</v>
      </c>
      <c r="K2">
        <v>0.7027451280362037</v>
      </c>
      <c r="L2" t="s">
        <v>892</v>
      </c>
      <c r="M2" t="s">
        <v>797</v>
      </c>
      <c r="N2" t="s">
        <v>796</v>
      </c>
      <c r="O2">
        <v>0.9442</v>
      </c>
      <c r="P2">
        <v>14</v>
      </c>
    </row>
    <row r="3" spans="2:16" ht="12.75">
      <c r="B3" t="s">
        <v>684</v>
      </c>
      <c r="D3" t="s">
        <v>778</v>
      </c>
      <c r="E3" t="s">
        <v>800</v>
      </c>
      <c r="F3" t="s">
        <v>799</v>
      </c>
      <c r="G3" t="s">
        <v>102</v>
      </c>
      <c r="H3" t="s">
        <v>94</v>
      </c>
      <c r="I3" t="s">
        <v>787</v>
      </c>
      <c r="J3">
        <v>0.17385694760446999</v>
      </c>
      <c r="K3">
        <v>0.41400214291329474</v>
      </c>
      <c r="L3" t="s">
        <v>892</v>
      </c>
      <c r="M3" t="s">
        <v>797</v>
      </c>
      <c r="N3" t="s">
        <v>95</v>
      </c>
      <c r="O3">
        <v>0.9586</v>
      </c>
      <c r="P3">
        <v>14</v>
      </c>
    </row>
    <row r="4" spans="2:16" ht="12.75">
      <c r="B4" t="s">
        <v>684</v>
      </c>
      <c r="D4" t="s">
        <v>778</v>
      </c>
      <c r="E4" t="s">
        <v>801</v>
      </c>
      <c r="F4" t="s">
        <v>799</v>
      </c>
      <c r="G4" t="s">
        <v>102</v>
      </c>
      <c r="H4" t="s">
        <v>94</v>
      </c>
      <c r="I4" t="s">
        <v>788</v>
      </c>
      <c r="J4">
        <v>0.1256177193339598</v>
      </c>
      <c r="K4">
        <v>0.313590447419955</v>
      </c>
      <c r="L4" t="s">
        <v>892</v>
      </c>
      <c r="M4" t="s">
        <v>797</v>
      </c>
      <c r="N4" t="s">
        <v>95</v>
      </c>
      <c r="O4">
        <v>0.9397</v>
      </c>
      <c r="P4">
        <v>14</v>
      </c>
    </row>
    <row r="5" spans="2:16" ht="12.75">
      <c r="B5" t="s">
        <v>684</v>
      </c>
      <c r="D5" t="s">
        <v>782</v>
      </c>
      <c r="E5" t="s">
        <v>802</v>
      </c>
      <c r="F5" t="s">
        <v>799</v>
      </c>
      <c r="G5" t="s">
        <v>102</v>
      </c>
      <c r="H5" t="s">
        <v>94</v>
      </c>
      <c r="I5" t="s">
        <v>789</v>
      </c>
      <c r="J5">
        <v>0.39356733471597183</v>
      </c>
      <c r="K5">
        <v>0.4106078196354016</v>
      </c>
      <c r="L5" t="s">
        <v>892</v>
      </c>
      <c r="M5" t="s">
        <v>797</v>
      </c>
      <c r="N5" t="s">
        <v>107</v>
      </c>
      <c r="O5">
        <v>0.8907</v>
      </c>
      <c r="P5">
        <v>14</v>
      </c>
    </row>
    <row r="7" spans="1:8" ht="12.75">
      <c r="A7" t="s">
        <v>803</v>
      </c>
      <c r="B7" t="s">
        <v>804</v>
      </c>
      <c r="C7">
        <v>27</v>
      </c>
      <c r="D7">
        <v>1</v>
      </c>
      <c r="E7" t="s">
        <v>805</v>
      </c>
      <c r="F7">
        <v>1999</v>
      </c>
      <c r="H7">
        <v>129</v>
      </c>
    </row>
    <row r="8" spans="3:7" ht="12.75">
      <c r="C8" t="s">
        <v>773</v>
      </c>
      <c r="G8" t="s">
        <v>794</v>
      </c>
    </row>
    <row r="10" ht="12.75">
      <c r="C10" t="s">
        <v>774</v>
      </c>
    </row>
    <row r="11" spans="6:19" ht="12.75">
      <c r="F11" t="s">
        <v>776</v>
      </c>
      <c r="S11" t="s">
        <v>795</v>
      </c>
    </row>
    <row r="13" spans="1:26" ht="12.75">
      <c r="A13" t="s">
        <v>777</v>
      </c>
      <c r="C13" t="s">
        <v>860</v>
      </c>
      <c r="D13" t="s">
        <v>778</v>
      </c>
      <c r="E13" t="s">
        <v>778</v>
      </c>
      <c r="F13" t="s">
        <v>781</v>
      </c>
      <c r="I13" t="s">
        <v>783</v>
      </c>
      <c r="J13" t="s">
        <v>784</v>
      </c>
      <c r="K13" t="s">
        <v>785</v>
      </c>
      <c r="L13" t="s">
        <v>786</v>
      </c>
      <c r="O13" t="s">
        <v>189</v>
      </c>
      <c r="P13" t="s">
        <v>190</v>
      </c>
      <c r="R13" t="s">
        <v>783</v>
      </c>
      <c r="S13" t="s">
        <v>784</v>
      </c>
      <c r="T13" t="s">
        <v>785</v>
      </c>
      <c r="U13" t="s">
        <v>786</v>
      </c>
      <c r="W13" t="s">
        <v>860</v>
      </c>
      <c r="X13" t="s">
        <v>778</v>
      </c>
      <c r="Y13" t="s">
        <v>778</v>
      </c>
      <c r="Z13" t="s">
        <v>781</v>
      </c>
    </row>
    <row r="14" spans="3:26" ht="12.75">
      <c r="C14" t="s">
        <v>775</v>
      </c>
      <c r="D14" t="s">
        <v>779</v>
      </c>
      <c r="E14" t="s">
        <v>780</v>
      </c>
      <c r="F14" t="s">
        <v>782</v>
      </c>
      <c r="W14" t="s">
        <v>775</v>
      </c>
      <c r="X14" t="s">
        <v>779</v>
      </c>
      <c r="Y14" t="s">
        <v>780</v>
      </c>
      <c r="Z14" t="s">
        <v>782</v>
      </c>
    </row>
    <row r="15" spans="3:26" ht="12.75">
      <c r="C15" t="s">
        <v>790</v>
      </c>
      <c r="D15" t="s">
        <v>791</v>
      </c>
      <c r="E15" t="s">
        <v>792</v>
      </c>
      <c r="F15" t="s">
        <v>793</v>
      </c>
      <c r="W15" t="s">
        <v>790</v>
      </c>
      <c r="X15" t="s">
        <v>791</v>
      </c>
      <c r="Y15" t="s">
        <v>792</v>
      </c>
      <c r="Z15" t="s">
        <v>793</v>
      </c>
    </row>
    <row r="16" spans="1:26" ht="12.75">
      <c r="A16">
        <v>2</v>
      </c>
      <c r="C16">
        <v>8.8</v>
      </c>
      <c r="D16">
        <v>6</v>
      </c>
      <c r="E16">
        <v>5.9</v>
      </c>
      <c r="F16">
        <v>0.3</v>
      </c>
      <c r="I16">
        <f>LOG(C16)</f>
        <v>0.9444826721501687</v>
      </c>
      <c r="J16">
        <f>LOG(D16)</f>
        <v>0.7781512503836436</v>
      </c>
      <c r="K16">
        <f>LOG(E16)</f>
        <v>0.7708520116421442</v>
      </c>
      <c r="L16">
        <f>LOG(F16)</f>
        <v>-0.5228787452803376</v>
      </c>
      <c r="N16">
        <v>1</v>
      </c>
      <c r="O16">
        <f>(N16-3/8)/14.25</f>
        <v>0.043859649122807015</v>
      </c>
      <c r="P16">
        <f>NORMSINV(O16)</f>
        <v>-1.7075527386738547</v>
      </c>
      <c r="R16">
        <v>0.4913616938342727</v>
      </c>
      <c r="S16">
        <v>0.7403626894942439</v>
      </c>
      <c r="T16">
        <v>0.7160033436347992</v>
      </c>
      <c r="U16">
        <v>-0.5228787452803376</v>
      </c>
      <c r="W16">
        <v>3.1</v>
      </c>
      <c r="X16">
        <v>5.5</v>
      </c>
      <c r="Y16">
        <v>5.2</v>
      </c>
      <c r="Z16">
        <v>0.3</v>
      </c>
    </row>
    <row r="17" spans="1:26" ht="12.75">
      <c r="A17">
        <v>5</v>
      </c>
      <c r="C17">
        <v>27.7</v>
      </c>
      <c r="D17">
        <v>7.8</v>
      </c>
      <c r="E17">
        <v>7.9</v>
      </c>
      <c r="F17">
        <v>10.3</v>
      </c>
      <c r="I17">
        <f aca="true" t="shared" si="0" ref="I17:I29">LOG(C17)</f>
        <v>1.4424797690644486</v>
      </c>
      <c r="J17">
        <f aca="true" t="shared" si="1" ref="J17:J29">LOG(D17)</f>
        <v>0.8920946026904804</v>
      </c>
      <c r="K17">
        <f aca="true" t="shared" si="2" ref="K17:K29">LOG(E17)</f>
        <v>0.8976270912904415</v>
      </c>
      <c r="L17">
        <f aca="true" t="shared" si="3" ref="L17:L29">LOG(F17)</f>
        <v>1.0128372247051722</v>
      </c>
      <c r="N17">
        <v>2</v>
      </c>
      <c r="O17">
        <f aca="true" t="shared" si="4" ref="O17:O29">(N17-3/8)/14.25</f>
        <v>0.11403508771929824</v>
      </c>
      <c r="P17">
        <f aca="true" t="shared" si="5" ref="P17:P29">NORMSINV(O17)</f>
        <v>-1.2053452415532084</v>
      </c>
      <c r="R17">
        <v>0.5910646070264992</v>
      </c>
      <c r="S17">
        <v>0.7781512503836436</v>
      </c>
      <c r="T17">
        <v>0.7403626894942439</v>
      </c>
      <c r="U17">
        <v>0.2787536009528289</v>
      </c>
      <c r="W17">
        <v>3.9</v>
      </c>
      <c r="X17">
        <v>6</v>
      </c>
      <c r="Y17">
        <v>5.5</v>
      </c>
      <c r="Z17">
        <v>1.9</v>
      </c>
    </row>
    <row r="18" spans="1:26" ht="12.75">
      <c r="A18">
        <v>7</v>
      </c>
      <c r="C18">
        <v>3.1</v>
      </c>
      <c r="D18">
        <v>9</v>
      </c>
      <c r="E18">
        <v>6.6</v>
      </c>
      <c r="F18">
        <v>8</v>
      </c>
      <c r="I18">
        <f t="shared" si="0"/>
        <v>0.4913616938342727</v>
      </c>
      <c r="J18">
        <f t="shared" si="1"/>
        <v>0.9542425094393249</v>
      </c>
      <c r="K18">
        <f t="shared" si="2"/>
        <v>0.8195439355418687</v>
      </c>
      <c r="L18">
        <f t="shared" si="3"/>
        <v>0.9030899869919435</v>
      </c>
      <c r="N18">
        <v>3</v>
      </c>
      <c r="O18">
        <f t="shared" si="4"/>
        <v>0.18421052631578946</v>
      </c>
      <c r="P18">
        <f t="shared" si="5"/>
        <v>-0.8994347806021585</v>
      </c>
      <c r="R18">
        <v>0.785329835010767</v>
      </c>
      <c r="S18">
        <v>0.8195439355418687</v>
      </c>
      <c r="T18">
        <v>0.7708520116421442</v>
      </c>
      <c r="U18">
        <v>0.7323937598229685</v>
      </c>
      <c r="W18">
        <v>6.1</v>
      </c>
      <c r="X18">
        <v>6.6</v>
      </c>
      <c r="Y18">
        <v>5.9</v>
      </c>
      <c r="Z18">
        <v>5.4</v>
      </c>
    </row>
    <row r="19" spans="1:26" ht="12.75">
      <c r="A19">
        <v>11</v>
      </c>
      <c r="C19">
        <v>51.9</v>
      </c>
      <c r="D19">
        <v>18.4</v>
      </c>
      <c r="E19">
        <v>13.6</v>
      </c>
      <c r="F19">
        <v>6.7</v>
      </c>
      <c r="I19">
        <f t="shared" si="0"/>
        <v>1.7151673578484579</v>
      </c>
      <c r="J19">
        <f t="shared" si="1"/>
        <v>1.2648178230095364</v>
      </c>
      <c r="K19">
        <f t="shared" si="2"/>
        <v>1.1335389083702174</v>
      </c>
      <c r="L19">
        <f t="shared" si="3"/>
        <v>0.8260748027008264</v>
      </c>
      <c r="N19">
        <v>4</v>
      </c>
      <c r="O19">
        <f t="shared" si="4"/>
        <v>0.2543859649122807</v>
      </c>
      <c r="P19">
        <f t="shared" si="5"/>
        <v>-0.6607509113210428</v>
      </c>
      <c r="R19">
        <v>0.9444826721501687</v>
      </c>
      <c r="S19">
        <v>0.8920946026904804</v>
      </c>
      <c r="T19">
        <v>0.7708520116421442</v>
      </c>
      <c r="U19">
        <v>0.7323937598229685</v>
      </c>
      <c r="W19">
        <v>8.8</v>
      </c>
      <c r="X19">
        <v>7.8</v>
      </c>
      <c r="Y19">
        <v>5.9</v>
      </c>
      <c r="Z19">
        <v>5.4</v>
      </c>
    </row>
    <row r="20" spans="1:26" ht="12.75">
      <c r="A20">
        <v>12</v>
      </c>
      <c r="C20">
        <v>22.8</v>
      </c>
      <c r="D20">
        <v>6.6</v>
      </c>
      <c r="E20">
        <v>6.8</v>
      </c>
      <c r="F20">
        <v>1.9</v>
      </c>
      <c r="I20">
        <f t="shared" si="0"/>
        <v>1.3579348470004537</v>
      </c>
      <c r="J20">
        <f t="shared" si="1"/>
        <v>0.8195439355418687</v>
      </c>
      <c r="K20">
        <f t="shared" si="2"/>
        <v>0.8325089127062363</v>
      </c>
      <c r="L20">
        <f t="shared" si="3"/>
        <v>0.2787536009528289</v>
      </c>
      <c r="N20">
        <v>5</v>
      </c>
      <c r="O20">
        <f t="shared" si="4"/>
        <v>0.32456140350877194</v>
      </c>
      <c r="P20">
        <f t="shared" si="5"/>
        <v>-0.45498119117774516</v>
      </c>
      <c r="R20">
        <v>1.334453751150931</v>
      </c>
      <c r="S20">
        <v>0.8920946026904804</v>
      </c>
      <c r="T20">
        <v>0.7708520116421442</v>
      </c>
      <c r="U20">
        <v>0.7708520116421442</v>
      </c>
      <c r="W20">
        <v>21.6</v>
      </c>
      <c r="X20">
        <v>7.8</v>
      </c>
      <c r="Y20">
        <v>5.9</v>
      </c>
      <c r="Z20">
        <v>5.9</v>
      </c>
    </row>
    <row r="21" spans="1:26" ht="12.75">
      <c r="A21">
        <v>13</v>
      </c>
      <c r="C21">
        <v>28.8</v>
      </c>
      <c r="D21">
        <v>9.5</v>
      </c>
      <c r="E21">
        <v>8.2</v>
      </c>
      <c r="F21">
        <v>5.9</v>
      </c>
      <c r="I21">
        <f t="shared" si="0"/>
        <v>1.4593924877592308</v>
      </c>
      <c r="J21">
        <f t="shared" si="1"/>
        <v>0.9777236052888477</v>
      </c>
      <c r="K21">
        <f t="shared" si="2"/>
        <v>0.9138138523837167</v>
      </c>
      <c r="L21">
        <f t="shared" si="3"/>
        <v>0.7708520116421442</v>
      </c>
      <c r="N21">
        <v>6</v>
      </c>
      <c r="O21">
        <f t="shared" si="4"/>
        <v>0.39473684210526316</v>
      </c>
      <c r="P21">
        <f t="shared" si="5"/>
        <v>-0.2669942766020923</v>
      </c>
      <c r="R21">
        <v>1.3579348470004537</v>
      </c>
      <c r="S21">
        <v>0.9542425094393249</v>
      </c>
      <c r="T21">
        <v>0.8195439355418687</v>
      </c>
      <c r="U21">
        <v>0.7923916894982539</v>
      </c>
      <c r="W21">
        <v>22.8</v>
      </c>
      <c r="X21">
        <v>9</v>
      </c>
      <c r="Y21">
        <v>6.6</v>
      </c>
      <c r="Z21">
        <v>6.2</v>
      </c>
    </row>
    <row r="22" spans="1:26" ht="12.75">
      <c r="A22">
        <v>14</v>
      </c>
      <c r="C22">
        <v>67.5</v>
      </c>
      <c r="D22">
        <v>13.3</v>
      </c>
      <c r="E22">
        <v>8.5</v>
      </c>
      <c r="F22">
        <v>8.5</v>
      </c>
      <c r="I22">
        <f t="shared" si="0"/>
        <v>1.8293037728310249</v>
      </c>
      <c r="J22">
        <f t="shared" si="1"/>
        <v>1.1238516409670858</v>
      </c>
      <c r="K22">
        <f t="shared" si="2"/>
        <v>0.9294189257142927</v>
      </c>
      <c r="L22">
        <f t="shared" si="3"/>
        <v>0.9294189257142927</v>
      </c>
      <c r="N22">
        <v>7</v>
      </c>
      <c r="O22">
        <f t="shared" si="4"/>
        <v>0.4649122807017544</v>
      </c>
      <c r="P22">
        <f t="shared" si="5"/>
        <v>-0.08806540723813083</v>
      </c>
      <c r="R22">
        <v>1.3654879848908996</v>
      </c>
      <c r="S22">
        <v>0.9777236052888477</v>
      </c>
      <c r="T22">
        <v>0.8325089127062363</v>
      </c>
      <c r="U22">
        <v>0.8260748027008264</v>
      </c>
      <c r="W22">
        <v>23.2</v>
      </c>
      <c r="X22">
        <v>9.5</v>
      </c>
      <c r="Y22">
        <v>6.8</v>
      </c>
      <c r="Z22">
        <v>6.7</v>
      </c>
    </row>
    <row r="23" spans="1:26" ht="12.75">
      <c r="A23">
        <v>15</v>
      </c>
      <c r="C23">
        <v>6.1</v>
      </c>
      <c r="D23">
        <v>9.8</v>
      </c>
      <c r="E23">
        <v>5.9</v>
      </c>
      <c r="F23">
        <v>5.4</v>
      </c>
      <c r="I23">
        <f t="shared" si="0"/>
        <v>0.785329835010767</v>
      </c>
      <c r="J23">
        <f t="shared" si="1"/>
        <v>0.9912260756924949</v>
      </c>
      <c r="K23">
        <f t="shared" si="2"/>
        <v>0.7708520116421442</v>
      </c>
      <c r="L23">
        <f t="shared" si="3"/>
        <v>0.7323937598229685</v>
      </c>
      <c r="N23">
        <v>8</v>
      </c>
      <c r="O23">
        <f t="shared" si="4"/>
        <v>0.5350877192982456</v>
      </c>
      <c r="P23">
        <f t="shared" si="5"/>
        <v>0.08806540723813083</v>
      </c>
      <c r="R23">
        <v>1.4424797690644486</v>
      </c>
      <c r="S23">
        <v>0.9822712330395684</v>
      </c>
      <c r="T23">
        <v>0.8976270912904415</v>
      </c>
      <c r="U23">
        <v>0.8388490907372553</v>
      </c>
      <c r="W23">
        <v>27.7</v>
      </c>
      <c r="X23">
        <v>9.6</v>
      </c>
      <c r="Y23">
        <v>7.9</v>
      </c>
      <c r="Z23">
        <v>6.9</v>
      </c>
    </row>
    <row r="24" spans="1:26" ht="12.75">
      <c r="A24">
        <v>16</v>
      </c>
      <c r="C24">
        <v>41</v>
      </c>
      <c r="D24">
        <v>18.6</v>
      </c>
      <c r="E24">
        <v>11.2</v>
      </c>
      <c r="F24">
        <v>7.6</v>
      </c>
      <c r="I24">
        <f t="shared" si="0"/>
        <v>1.6127838567197355</v>
      </c>
      <c r="J24">
        <f t="shared" si="1"/>
        <v>1.2695129442179163</v>
      </c>
      <c r="K24">
        <f t="shared" si="2"/>
        <v>1.0492180226701815</v>
      </c>
      <c r="L24">
        <f t="shared" si="3"/>
        <v>0.8808135922807914</v>
      </c>
      <c r="N24">
        <v>9</v>
      </c>
      <c r="O24">
        <f t="shared" si="4"/>
        <v>0.6052631578947368</v>
      </c>
      <c r="P24">
        <f t="shared" si="5"/>
        <v>0.2669942766020923</v>
      </c>
      <c r="R24">
        <v>1.4578818967339924</v>
      </c>
      <c r="S24">
        <v>0.9912260756924949</v>
      </c>
      <c r="T24">
        <v>0.9030899869919435</v>
      </c>
      <c r="U24">
        <v>0.8450980400142568</v>
      </c>
      <c r="W24">
        <v>28.7</v>
      </c>
      <c r="X24">
        <v>9.8</v>
      </c>
      <c r="Y24">
        <v>8</v>
      </c>
      <c r="Z24">
        <v>7</v>
      </c>
    </row>
    <row r="25" spans="1:26" ht="12.75">
      <c r="A25">
        <v>17</v>
      </c>
      <c r="C25">
        <v>46</v>
      </c>
      <c r="D25">
        <v>17</v>
      </c>
      <c r="E25">
        <v>10.5</v>
      </c>
      <c r="F25">
        <v>8.2</v>
      </c>
      <c r="I25">
        <f t="shared" si="0"/>
        <v>1.662757831681574</v>
      </c>
      <c r="J25">
        <f t="shared" si="1"/>
        <v>1.2304489213782739</v>
      </c>
      <c r="K25">
        <f t="shared" si="2"/>
        <v>1.021189299069938</v>
      </c>
      <c r="L25">
        <f t="shared" si="3"/>
        <v>0.9138138523837167</v>
      </c>
      <c r="N25">
        <v>10</v>
      </c>
      <c r="O25">
        <f t="shared" si="4"/>
        <v>0.6754385964912281</v>
      </c>
      <c r="P25">
        <f t="shared" si="5"/>
        <v>0.45498119117774516</v>
      </c>
      <c r="R25">
        <v>1.4593924877592308</v>
      </c>
      <c r="S25">
        <v>1.0791812460476249</v>
      </c>
      <c r="T25">
        <v>0.9138138523837167</v>
      </c>
      <c r="U25">
        <v>0.8808135922807914</v>
      </c>
      <c r="W25">
        <v>28.8</v>
      </c>
      <c r="X25">
        <v>12</v>
      </c>
      <c r="Y25">
        <v>8.2</v>
      </c>
      <c r="Z25">
        <v>7.6</v>
      </c>
    </row>
    <row r="26" spans="1:26" ht="12.75">
      <c r="A26">
        <v>18</v>
      </c>
      <c r="C26">
        <v>28.7</v>
      </c>
      <c r="D26">
        <v>7.8</v>
      </c>
      <c r="E26">
        <v>5.5</v>
      </c>
      <c r="F26">
        <v>7</v>
      </c>
      <c r="I26">
        <f t="shared" si="0"/>
        <v>1.4578818967339924</v>
      </c>
      <c r="J26">
        <f t="shared" si="1"/>
        <v>0.8920946026904804</v>
      </c>
      <c r="K26">
        <f t="shared" si="2"/>
        <v>0.7403626894942439</v>
      </c>
      <c r="L26">
        <f t="shared" si="3"/>
        <v>0.8450980400142568</v>
      </c>
      <c r="N26">
        <v>11</v>
      </c>
      <c r="O26">
        <f t="shared" si="4"/>
        <v>0.7456140350877193</v>
      </c>
      <c r="P26">
        <f t="shared" si="5"/>
        <v>0.6607509113210428</v>
      </c>
      <c r="R26">
        <v>1.6127838567197355</v>
      </c>
      <c r="S26">
        <v>1.1238516409670858</v>
      </c>
      <c r="T26">
        <v>0.9294189257142927</v>
      </c>
      <c r="U26">
        <v>0.9030899869919435</v>
      </c>
      <c r="W26">
        <v>41</v>
      </c>
      <c r="X26">
        <v>13.3</v>
      </c>
      <c r="Y26">
        <v>8.5</v>
      </c>
      <c r="Z26">
        <v>8</v>
      </c>
    </row>
    <row r="27" spans="1:26" ht="12.75">
      <c r="A27">
        <v>19</v>
      </c>
      <c r="C27">
        <v>23.2</v>
      </c>
      <c r="D27">
        <v>9.6</v>
      </c>
      <c r="E27">
        <v>5.9</v>
      </c>
      <c r="F27">
        <v>6.9</v>
      </c>
      <c r="I27">
        <f t="shared" si="0"/>
        <v>1.3654879848908996</v>
      </c>
      <c r="J27">
        <f t="shared" si="1"/>
        <v>0.9822712330395684</v>
      </c>
      <c r="K27">
        <f t="shared" si="2"/>
        <v>0.7708520116421442</v>
      </c>
      <c r="L27">
        <f t="shared" si="3"/>
        <v>0.8388490907372553</v>
      </c>
      <c r="N27">
        <v>12</v>
      </c>
      <c r="O27">
        <f t="shared" si="4"/>
        <v>0.8157894736842105</v>
      </c>
      <c r="P27">
        <f t="shared" si="5"/>
        <v>0.8994347806021585</v>
      </c>
      <c r="R27">
        <v>1.662757831681574</v>
      </c>
      <c r="S27">
        <v>1.2304489213782739</v>
      </c>
      <c r="T27">
        <v>1.021189299069938</v>
      </c>
      <c r="U27">
        <v>0.9138138523837167</v>
      </c>
      <c r="W27">
        <v>46</v>
      </c>
      <c r="X27">
        <v>17</v>
      </c>
      <c r="Y27">
        <v>10.5</v>
      </c>
      <c r="Z27">
        <v>8.2</v>
      </c>
    </row>
    <row r="28" spans="1:26" ht="12.75">
      <c r="A28">
        <v>20</v>
      </c>
      <c r="C28">
        <v>3.9</v>
      </c>
      <c r="D28">
        <v>5.5</v>
      </c>
      <c r="E28">
        <v>5.2</v>
      </c>
      <c r="F28">
        <v>5.4</v>
      </c>
      <c r="I28">
        <f t="shared" si="0"/>
        <v>0.5910646070264992</v>
      </c>
      <c r="J28">
        <f t="shared" si="1"/>
        <v>0.7403626894942439</v>
      </c>
      <c r="K28">
        <f t="shared" si="2"/>
        <v>0.7160033436347992</v>
      </c>
      <c r="L28">
        <f t="shared" si="3"/>
        <v>0.7323937598229685</v>
      </c>
      <c r="N28">
        <v>13</v>
      </c>
      <c r="O28">
        <f t="shared" si="4"/>
        <v>0.8859649122807017</v>
      </c>
      <c r="P28">
        <f t="shared" si="5"/>
        <v>1.2053452415532075</v>
      </c>
      <c r="R28">
        <v>1.7151673578484579</v>
      </c>
      <c r="S28">
        <v>1.2648178230095364</v>
      </c>
      <c r="T28">
        <v>1.0492180226701815</v>
      </c>
      <c r="U28">
        <v>0.9294189257142927</v>
      </c>
      <c r="W28">
        <v>51.9</v>
      </c>
      <c r="X28">
        <v>18.4</v>
      </c>
      <c r="Y28">
        <v>11.2</v>
      </c>
      <c r="Z28">
        <v>8.5</v>
      </c>
    </row>
    <row r="29" spans="1:26" ht="12.75">
      <c r="A29">
        <v>21</v>
      </c>
      <c r="C29">
        <v>21.6</v>
      </c>
      <c r="D29">
        <v>12</v>
      </c>
      <c r="E29">
        <v>8</v>
      </c>
      <c r="F29">
        <v>6.2</v>
      </c>
      <c r="I29">
        <f t="shared" si="0"/>
        <v>1.334453751150931</v>
      </c>
      <c r="J29">
        <f t="shared" si="1"/>
        <v>1.0791812460476249</v>
      </c>
      <c r="K29">
        <f t="shared" si="2"/>
        <v>0.9030899869919435</v>
      </c>
      <c r="L29">
        <f t="shared" si="3"/>
        <v>0.7923916894982539</v>
      </c>
      <c r="N29">
        <v>14</v>
      </c>
      <c r="O29">
        <f t="shared" si="4"/>
        <v>0.956140350877193</v>
      </c>
      <c r="P29">
        <f t="shared" si="5"/>
        <v>1.7075527386738538</v>
      </c>
      <c r="R29">
        <v>1.8293037728310249</v>
      </c>
      <c r="S29">
        <v>1.2695129442179163</v>
      </c>
      <c r="T29">
        <v>1.1335389083702174</v>
      </c>
      <c r="U29">
        <v>1.0128372247051722</v>
      </c>
      <c r="W29">
        <v>67.5</v>
      </c>
      <c r="X29">
        <v>18.6</v>
      </c>
      <c r="Y29">
        <v>13.6</v>
      </c>
      <c r="Z29">
        <v>10.3</v>
      </c>
    </row>
    <row r="31" spans="1:12" ht="12.75">
      <c r="A31" t="s">
        <v>134</v>
      </c>
      <c r="C31">
        <f>AVERAGE(C16:C29)</f>
        <v>27.221428571428568</v>
      </c>
      <c r="D31">
        <f>AVERAGE(D16:D29)</f>
        <v>10.778571428571428</v>
      </c>
      <c r="E31">
        <f>AVERAGE(E16:E29)</f>
        <v>7.835714285714286</v>
      </c>
      <c r="F31">
        <f>AVERAGE(F16:F29)</f>
        <v>6.307142857142858</v>
      </c>
      <c r="I31">
        <f>AVERAGE(I16:I29)</f>
        <v>1.2892773116930327</v>
      </c>
      <c r="J31">
        <f>AVERAGE(J16:J29)</f>
        <v>0.999680219991528</v>
      </c>
      <c r="K31">
        <f>AVERAGE(K16:K29)</f>
        <v>0.8763479287710225</v>
      </c>
      <c r="L31">
        <f>AVERAGE(L16:L29)</f>
        <v>0.7095643994276487</v>
      </c>
    </row>
    <row r="32" spans="1:12" ht="12.75">
      <c r="A32" t="s">
        <v>135</v>
      </c>
      <c r="C32">
        <f>STDEV(C16:C29)</f>
        <v>19.129726306756943</v>
      </c>
      <c r="D32">
        <f>STDEV(D16:D29)</f>
        <v>4.462351668972584</v>
      </c>
      <c r="E32">
        <f>STDEV(E16:E29)</f>
        <v>2.457205148712076</v>
      </c>
      <c r="F32">
        <f>STDEV(F16:F29)</f>
        <v>2.589762176700426</v>
      </c>
      <c r="I32" s="1">
        <f>STDEV(I16:I29)</f>
        <v>0.4213140905125548</v>
      </c>
      <c r="J32" s="1">
        <f>STDEV(J16:J29)</f>
        <v>0.17385694760446999</v>
      </c>
      <c r="K32" s="1">
        <f>STDEV(K16:K29)</f>
        <v>0.1256177193339598</v>
      </c>
      <c r="L32" s="1">
        <f>STDEV(L16:L29)</f>
        <v>0.39356733471597183</v>
      </c>
    </row>
    <row r="33" spans="1:6" ht="12.75">
      <c r="A33" t="s">
        <v>136</v>
      </c>
      <c r="C33">
        <f>COUNT(C16:C29)</f>
        <v>14</v>
      </c>
      <c r="D33">
        <f>COUNT(D16:D29)</f>
        <v>14</v>
      </c>
      <c r="E33">
        <f>COUNT(E16:E29)</f>
        <v>14</v>
      </c>
      <c r="F33">
        <f>COUNT(F16:F29)</f>
        <v>14</v>
      </c>
    </row>
    <row r="34" spans="1:6" ht="12.75">
      <c r="A34" t="s">
        <v>137</v>
      </c>
      <c r="C34">
        <f>(C32/C33^0.5)</f>
        <v>5.112634410188636</v>
      </c>
      <c r="D34">
        <f>(D32/D33^0.5)</f>
        <v>1.1926136488995924</v>
      </c>
      <c r="E34">
        <f>(E32/E33^0.5)</f>
        <v>0.6567156996783929</v>
      </c>
      <c r="F34">
        <f>(F32/F33^0.5)</f>
        <v>0.6921430556027793</v>
      </c>
    </row>
    <row r="35" spans="1:6" ht="12.75">
      <c r="A35" t="s">
        <v>138</v>
      </c>
      <c r="C35" s="1">
        <f>C32/C31</f>
        <v>0.7027451280362037</v>
      </c>
      <c r="D35" s="1">
        <f>D32/D31</f>
        <v>0.41400214291329474</v>
      </c>
      <c r="E35" s="1">
        <f>E32/E31</f>
        <v>0.313590447419955</v>
      </c>
      <c r="F35" s="1">
        <f>F32/F31</f>
        <v>0.4106078196354016</v>
      </c>
    </row>
  </sheetData>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BE32"/>
  <sheetViews>
    <sheetView zoomScale="115" zoomScaleNormal="115" workbookViewId="0" topLeftCell="A1">
      <selection activeCell="L18" sqref="L18"/>
    </sheetView>
  </sheetViews>
  <sheetFormatPr defaultColWidth="9.140625" defaultRowHeight="12.75"/>
  <cols>
    <col min="1" max="4" width="8.8515625" style="0" customWidth="1"/>
    <col min="5" max="5" width="11.421875" style="0" customWidth="1"/>
    <col min="6" max="6" width="18.421875" style="0" customWidth="1"/>
    <col min="7" max="11" width="8.8515625" style="0" customWidth="1"/>
    <col min="12" max="12" width="14.00390625" style="0" customWidth="1"/>
    <col min="13" max="13" width="12.421875" style="0" customWidth="1"/>
    <col min="14" max="14" width="14.140625" style="0" customWidth="1"/>
    <col min="15" max="15" width="8.8515625" style="0" customWidth="1"/>
    <col min="16" max="16" width="25.8515625" style="0" customWidth="1"/>
    <col min="17" max="16384" width="8.8515625" style="0" customWidth="1"/>
  </cols>
  <sheetData>
    <row r="1" spans="1:21" ht="38.25">
      <c r="A1" s="7" t="s">
        <v>69</v>
      </c>
      <c r="B1" s="7" t="s">
        <v>57</v>
      </c>
      <c r="C1" s="7" t="s">
        <v>58</v>
      </c>
      <c r="D1" s="7" t="s">
        <v>59</v>
      </c>
      <c r="E1" s="7" t="s">
        <v>60</v>
      </c>
      <c r="F1" s="7" t="s">
        <v>92</v>
      </c>
      <c r="G1" s="7" t="s">
        <v>61</v>
      </c>
      <c r="H1" s="7" t="s">
        <v>62</v>
      </c>
      <c r="I1" s="7" t="s">
        <v>63</v>
      </c>
      <c r="J1" s="8" t="s">
        <v>64</v>
      </c>
      <c r="K1" s="8" t="s">
        <v>138</v>
      </c>
      <c r="L1" s="7" t="s">
        <v>1126</v>
      </c>
      <c r="M1" s="7" t="s">
        <v>1127</v>
      </c>
      <c r="N1" s="7" t="s">
        <v>66</v>
      </c>
      <c r="O1" s="7" t="s">
        <v>85</v>
      </c>
      <c r="P1" s="7" t="s">
        <v>67</v>
      </c>
      <c r="Q1" s="7" t="s">
        <v>68</v>
      </c>
      <c r="R1" s="10"/>
      <c r="S1" s="10"/>
      <c r="T1" s="10"/>
      <c r="U1" s="10"/>
    </row>
    <row r="2" spans="2:16" ht="12.75">
      <c r="B2" t="s">
        <v>664</v>
      </c>
      <c r="D2" t="s">
        <v>675</v>
      </c>
      <c r="E2" t="s">
        <v>677</v>
      </c>
      <c r="G2" t="s">
        <v>676</v>
      </c>
      <c r="I2" t="s">
        <v>669</v>
      </c>
      <c r="J2">
        <v>0.3234080662944296</v>
      </c>
      <c r="K2">
        <v>0.6454663916949027</v>
      </c>
      <c r="L2" t="s">
        <v>87</v>
      </c>
      <c r="M2" t="s">
        <v>797</v>
      </c>
      <c r="N2" t="s">
        <v>796</v>
      </c>
      <c r="O2">
        <v>0.8607</v>
      </c>
      <c r="P2">
        <v>6</v>
      </c>
    </row>
    <row r="3" spans="2:16" ht="12.75">
      <c r="B3" t="s">
        <v>664</v>
      </c>
      <c r="D3" t="s">
        <v>675</v>
      </c>
      <c r="E3" t="s">
        <v>677</v>
      </c>
      <c r="G3" t="s">
        <v>676</v>
      </c>
      <c r="I3" t="s">
        <v>670</v>
      </c>
      <c r="J3">
        <v>0.2859420197002022</v>
      </c>
      <c r="K3">
        <v>0.5181559271431514</v>
      </c>
      <c r="L3" t="s">
        <v>87</v>
      </c>
      <c r="M3" t="s">
        <v>797</v>
      </c>
      <c r="N3" t="s">
        <v>605</v>
      </c>
      <c r="O3">
        <v>0.9744</v>
      </c>
      <c r="P3">
        <v>6</v>
      </c>
    </row>
    <row r="4" spans="2:16" ht="12.75">
      <c r="B4" t="s">
        <v>664</v>
      </c>
      <c r="D4" t="s">
        <v>675</v>
      </c>
      <c r="E4" t="s">
        <v>677</v>
      </c>
      <c r="G4" t="s">
        <v>676</v>
      </c>
      <c r="I4" t="s">
        <v>671</v>
      </c>
      <c r="J4" s="1">
        <v>0.15508439489780182</v>
      </c>
      <c r="K4">
        <v>0.39335296949905396</v>
      </c>
      <c r="L4" t="s">
        <v>87</v>
      </c>
      <c r="M4" t="s">
        <v>797</v>
      </c>
      <c r="N4" t="s">
        <v>604</v>
      </c>
      <c r="O4">
        <v>0.85</v>
      </c>
      <c r="P4">
        <v>6</v>
      </c>
    </row>
    <row r="5" spans="2:16" ht="12.75">
      <c r="B5" t="s">
        <v>664</v>
      </c>
      <c r="D5" t="s">
        <v>675</v>
      </c>
      <c r="E5" t="s">
        <v>677</v>
      </c>
      <c r="G5" t="s">
        <v>676</v>
      </c>
      <c r="I5" t="s">
        <v>672</v>
      </c>
      <c r="J5">
        <v>0.2544086275234387</v>
      </c>
      <c r="K5">
        <v>0.2544086275234387</v>
      </c>
      <c r="L5" t="s">
        <v>87</v>
      </c>
      <c r="M5" t="s">
        <v>797</v>
      </c>
      <c r="N5" t="s">
        <v>606</v>
      </c>
      <c r="O5">
        <v>0.9824</v>
      </c>
      <c r="P5">
        <v>6</v>
      </c>
    </row>
    <row r="6" spans="2:16" ht="12.75">
      <c r="B6" t="s">
        <v>664</v>
      </c>
      <c r="D6" t="s">
        <v>675</v>
      </c>
      <c r="E6" t="s">
        <v>677</v>
      </c>
      <c r="G6" t="s">
        <v>676</v>
      </c>
      <c r="I6" t="s">
        <v>673</v>
      </c>
      <c r="J6">
        <v>0.27219193368100136</v>
      </c>
      <c r="K6" s="1">
        <v>0.7893358538796452</v>
      </c>
      <c r="L6" t="s">
        <v>87</v>
      </c>
      <c r="M6" t="s">
        <v>797</v>
      </c>
      <c r="N6" t="s">
        <v>604</v>
      </c>
      <c r="O6">
        <v>0.8667</v>
      </c>
      <c r="P6">
        <v>6</v>
      </c>
    </row>
    <row r="7" spans="2:16" ht="12.75">
      <c r="B7" t="s">
        <v>664</v>
      </c>
      <c r="D7" t="s">
        <v>675</v>
      </c>
      <c r="E7" t="s">
        <v>677</v>
      </c>
      <c r="G7" t="s">
        <v>676</v>
      </c>
      <c r="I7" t="s">
        <v>674</v>
      </c>
      <c r="J7" s="1">
        <v>0.11668679780411766</v>
      </c>
      <c r="K7" s="1">
        <f>K4/K3</f>
        <v>0.7591401524012327</v>
      </c>
      <c r="L7" t="s">
        <v>87</v>
      </c>
      <c r="M7" t="s">
        <v>797</v>
      </c>
      <c r="N7" t="s">
        <v>95</v>
      </c>
      <c r="O7">
        <v>0.889</v>
      </c>
      <c r="P7">
        <v>6</v>
      </c>
    </row>
    <row r="8" spans="11:14" ht="12.75">
      <c r="K8" s="1"/>
      <c r="L8" s="1"/>
      <c r="N8" s="1"/>
    </row>
    <row r="14" ht="16.5" customHeight="1"/>
    <row r="18" spans="12:54" ht="13.5" thickBot="1">
      <c r="L18" t="s">
        <v>653</v>
      </c>
      <c r="M18" t="s">
        <v>655</v>
      </c>
      <c r="R18" s="24" t="s">
        <v>658</v>
      </c>
      <c r="S18" s="24" t="s">
        <v>658</v>
      </c>
      <c r="V18" t="s">
        <v>1034</v>
      </c>
      <c r="W18" t="s">
        <v>661</v>
      </c>
      <c r="AA18" t="s">
        <v>1034</v>
      </c>
      <c r="AB18" t="s">
        <v>658</v>
      </c>
      <c r="AK18" t="s">
        <v>653</v>
      </c>
      <c r="AM18" t="s">
        <v>655</v>
      </c>
      <c r="AR18" t="s">
        <v>658</v>
      </c>
      <c r="AW18" t="s">
        <v>661</v>
      </c>
      <c r="BB18" t="s">
        <v>658</v>
      </c>
    </row>
    <row r="19" spans="12:57" ht="12.75">
      <c r="L19" t="s">
        <v>631</v>
      </c>
      <c r="M19" t="s">
        <v>657</v>
      </c>
      <c r="N19" t="s">
        <v>656</v>
      </c>
      <c r="P19" t="s">
        <v>1129</v>
      </c>
      <c r="R19" s="23" t="s">
        <v>659</v>
      </c>
      <c r="S19" s="23" t="s">
        <v>660</v>
      </c>
      <c r="U19" t="s">
        <v>1129</v>
      </c>
      <c r="V19" t="s">
        <v>631</v>
      </c>
      <c r="W19" t="s">
        <v>662</v>
      </c>
      <c r="X19" t="s">
        <v>663</v>
      </c>
      <c r="Z19" t="s">
        <v>6</v>
      </c>
      <c r="AA19" t="s">
        <v>631</v>
      </c>
      <c r="AB19" t="s">
        <v>662</v>
      </c>
      <c r="AC19" t="s">
        <v>663</v>
      </c>
      <c r="AE19" t="s">
        <v>6</v>
      </c>
      <c r="AH19" t="s">
        <v>189</v>
      </c>
      <c r="AI19" t="s">
        <v>190</v>
      </c>
      <c r="AK19" t="s">
        <v>631</v>
      </c>
      <c r="AM19" t="s">
        <v>657</v>
      </c>
      <c r="AN19" t="s">
        <v>656</v>
      </c>
      <c r="AP19" t="s">
        <v>1129</v>
      </c>
      <c r="AR19" t="s">
        <v>659</v>
      </c>
      <c r="AS19" t="s">
        <v>660</v>
      </c>
      <c r="AU19" t="s">
        <v>1129</v>
      </c>
      <c r="AW19" t="s">
        <v>662</v>
      </c>
      <c r="AX19" t="s">
        <v>663</v>
      </c>
      <c r="AZ19" t="s">
        <v>6</v>
      </c>
      <c r="BB19" t="s">
        <v>662</v>
      </c>
      <c r="BC19" t="s">
        <v>663</v>
      </c>
      <c r="BE19" t="s">
        <v>6</v>
      </c>
    </row>
    <row r="20" spans="2:57" ht="12.75">
      <c r="B20">
        <v>1</v>
      </c>
      <c r="C20" t="s">
        <v>635</v>
      </c>
      <c r="D20" t="s">
        <v>645</v>
      </c>
      <c r="E20" t="s">
        <v>647</v>
      </c>
      <c r="L20">
        <v>0.615</v>
      </c>
      <c r="M20">
        <v>4.16</v>
      </c>
      <c r="N20">
        <v>5.62</v>
      </c>
      <c r="P20">
        <f aca="true" t="shared" si="0" ref="P20:P25">N20*1000/M20</f>
        <v>1350.9615384615383</v>
      </c>
      <c r="R20" s="23">
        <v>0.44</v>
      </c>
      <c r="S20" s="23">
        <v>3.19</v>
      </c>
      <c r="U20">
        <f aca="true" t="shared" si="1" ref="U20:U25">S20*1000/R20</f>
        <v>7250</v>
      </c>
      <c r="V20">
        <f aca="true" t="shared" si="2" ref="V20:X25">LOG(L20)</f>
        <v>-0.21112488422458328</v>
      </c>
      <c r="W20">
        <f t="shared" si="2"/>
        <v>0.6190933306267428</v>
      </c>
      <c r="X20">
        <f t="shared" si="2"/>
        <v>0.7497363155690611</v>
      </c>
      <c r="Z20">
        <f aca="true" t="shared" si="3" ref="Z20:Z25">LOG(P20)</f>
        <v>3.1306429849423183</v>
      </c>
      <c r="AA20">
        <v>-0.21112488422458328</v>
      </c>
      <c r="AB20">
        <f aca="true" t="shared" si="4" ref="AB20:AC25">LOG(R20)</f>
        <v>-0.3565473235138126</v>
      </c>
      <c r="AC20">
        <f t="shared" si="4"/>
        <v>0.5037906830571811</v>
      </c>
      <c r="AE20">
        <f aca="true" t="shared" si="5" ref="AE20:AE25">LOG(U20)</f>
        <v>3.8603380065709936</v>
      </c>
      <c r="AG20">
        <v>1</v>
      </c>
      <c r="AH20">
        <f aca="true" t="shared" si="6" ref="AH20:AH25">(AG20-3/8)/6.25</f>
        <v>0.1</v>
      </c>
      <c r="AI20">
        <f aca="true" t="shared" si="7" ref="AI20:AI25">NORMSINV(AH20)</f>
        <v>-1.2815519393373522</v>
      </c>
      <c r="AK20">
        <v>0.555</v>
      </c>
      <c r="AM20">
        <v>1.08</v>
      </c>
      <c r="AN20">
        <v>1.47</v>
      </c>
      <c r="AP20">
        <f aca="true" t="shared" si="8" ref="AP20:AP25">AN20*1000/AM20</f>
        <v>1361.111111111111</v>
      </c>
      <c r="AR20">
        <v>0.44</v>
      </c>
      <c r="AS20">
        <v>3.19</v>
      </c>
      <c r="AU20">
        <f aca="true" t="shared" si="9" ref="AU20:AU25">AS20*1000/AR20</f>
        <v>7250</v>
      </c>
      <c r="AW20">
        <f aca="true" t="shared" si="10" ref="AW20:AX25">LOG(AM20)</f>
        <v>0.03342375548694973</v>
      </c>
      <c r="AX20">
        <f t="shared" si="10"/>
        <v>0.1673173347481761</v>
      </c>
      <c r="AZ20">
        <f aca="true" t="shared" si="11" ref="AZ20:AZ25">LOG(AP20)</f>
        <v>3.1338935792612266</v>
      </c>
      <c r="BB20">
        <f aca="true" t="shared" si="12" ref="BB20:BC25">LOG(AR20)</f>
        <v>-0.3565473235138126</v>
      </c>
      <c r="BC20">
        <f t="shared" si="12"/>
        <v>0.5037906830571811</v>
      </c>
      <c r="BE20">
        <f aca="true" t="shared" si="13" ref="BE20:BE25">LOG(AU20)</f>
        <v>3.8603380065709936</v>
      </c>
    </row>
    <row r="21" spans="2:57" ht="12.75">
      <c r="B21">
        <v>2</v>
      </c>
      <c r="C21" t="s">
        <v>636</v>
      </c>
      <c r="D21" t="s">
        <v>645</v>
      </c>
      <c r="E21" t="s">
        <v>648</v>
      </c>
      <c r="L21">
        <v>0.555</v>
      </c>
      <c r="M21">
        <v>5.16</v>
      </c>
      <c r="N21">
        <v>6.73</v>
      </c>
      <c r="P21">
        <f t="shared" si="0"/>
        <v>1304.2635658914728</v>
      </c>
      <c r="R21" s="23">
        <v>0.6</v>
      </c>
      <c r="S21" s="23">
        <v>3.46</v>
      </c>
      <c r="U21">
        <f t="shared" si="1"/>
        <v>5766.666666666667</v>
      </c>
      <c r="V21">
        <f t="shared" si="2"/>
        <v>-0.2557070168773237</v>
      </c>
      <c r="W21">
        <f t="shared" si="2"/>
        <v>0.7126497016272114</v>
      </c>
      <c r="X21">
        <f t="shared" si="2"/>
        <v>0.8280150642239769</v>
      </c>
      <c r="Z21">
        <f t="shared" si="3"/>
        <v>3.1153653625967657</v>
      </c>
      <c r="AA21">
        <v>-0.2557070168773237</v>
      </c>
      <c r="AB21">
        <f t="shared" si="4"/>
        <v>-0.2218487496163564</v>
      </c>
      <c r="AC21">
        <f t="shared" si="4"/>
        <v>0.5390760987927766</v>
      </c>
      <c r="AE21">
        <f t="shared" si="5"/>
        <v>3.760924848409133</v>
      </c>
      <c r="AG21">
        <v>2</v>
      </c>
      <c r="AH21">
        <f t="shared" si="6"/>
        <v>0.26</v>
      </c>
      <c r="AI21">
        <f t="shared" si="7"/>
        <v>-0.6433452029738813</v>
      </c>
      <c r="AK21">
        <v>0.615</v>
      </c>
      <c r="AM21">
        <v>1.18</v>
      </c>
      <c r="AN21">
        <v>2.78</v>
      </c>
      <c r="AP21">
        <f t="shared" si="8"/>
        <v>2355.9322033898306</v>
      </c>
      <c r="AR21">
        <v>0.6</v>
      </c>
      <c r="AS21">
        <v>3.46</v>
      </c>
      <c r="AU21">
        <f t="shared" si="9"/>
        <v>5766.666666666667</v>
      </c>
      <c r="AW21">
        <f t="shared" si="10"/>
        <v>0.07188200730612536</v>
      </c>
      <c r="AX21">
        <f t="shared" si="10"/>
        <v>0.4440447959180762</v>
      </c>
      <c r="AZ21">
        <f t="shared" si="11"/>
        <v>3.3721627886119507</v>
      </c>
      <c r="BB21">
        <f t="shared" si="12"/>
        <v>-0.2218487496163564</v>
      </c>
      <c r="BC21">
        <f t="shared" si="12"/>
        <v>0.5390760987927766</v>
      </c>
      <c r="BE21">
        <f t="shared" si="13"/>
        <v>3.760924848409133</v>
      </c>
    </row>
    <row r="22" spans="2:57" ht="12.75">
      <c r="B22">
        <v>3</v>
      </c>
      <c r="C22" t="s">
        <v>637</v>
      </c>
      <c r="D22" t="s">
        <v>645</v>
      </c>
      <c r="E22" t="s">
        <v>649</v>
      </c>
      <c r="L22">
        <v>0.846</v>
      </c>
      <c r="M22">
        <v>1.08</v>
      </c>
      <c r="N22">
        <v>1.47</v>
      </c>
      <c r="P22">
        <f t="shared" si="0"/>
        <v>1361.111111111111</v>
      </c>
      <c r="R22" s="23">
        <v>0.88</v>
      </c>
      <c r="S22" s="23">
        <v>4.26</v>
      </c>
      <c r="U22">
        <f t="shared" si="1"/>
        <v>4840.909090909091</v>
      </c>
      <c r="V22">
        <f t="shared" si="2"/>
        <v>-0.07262963696097648</v>
      </c>
      <c r="W22">
        <f t="shared" si="2"/>
        <v>0.03342375548694973</v>
      </c>
      <c r="X22">
        <f t="shared" si="2"/>
        <v>0.1673173347481761</v>
      </c>
      <c r="Z22">
        <f t="shared" si="3"/>
        <v>3.1338935792612266</v>
      </c>
      <c r="AA22">
        <v>-0.07262963696097648</v>
      </c>
      <c r="AB22">
        <f t="shared" si="4"/>
        <v>-0.05551732784983137</v>
      </c>
      <c r="AC22">
        <f t="shared" si="4"/>
        <v>0.6294095991027189</v>
      </c>
      <c r="AE22">
        <f t="shared" si="5"/>
        <v>3.68492692695255</v>
      </c>
      <c r="AG22">
        <v>3</v>
      </c>
      <c r="AH22">
        <f t="shared" si="6"/>
        <v>0.42</v>
      </c>
      <c r="AI22">
        <f t="shared" si="7"/>
        <v>-0.2018935396792244</v>
      </c>
      <c r="AK22">
        <v>0.67</v>
      </c>
      <c r="AM22">
        <v>1.71</v>
      </c>
      <c r="AN22">
        <v>5.31</v>
      </c>
      <c r="AP22">
        <f t="shared" si="8"/>
        <v>3105.263157894737</v>
      </c>
      <c r="AR22">
        <v>0.88</v>
      </c>
      <c r="AS22">
        <v>4.26</v>
      </c>
      <c r="AU22">
        <f t="shared" si="9"/>
        <v>4840.909090909091</v>
      </c>
      <c r="AW22">
        <f t="shared" si="10"/>
        <v>0.23299611039215382</v>
      </c>
      <c r="AX22">
        <f t="shared" si="10"/>
        <v>0.725094521081469</v>
      </c>
      <c r="AZ22">
        <f t="shared" si="11"/>
        <v>3.4920984106893154</v>
      </c>
      <c r="BB22">
        <f t="shared" si="12"/>
        <v>-0.05551732784983137</v>
      </c>
      <c r="BC22">
        <f t="shared" si="12"/>
        <v>0.6294095991027189</v>
      </c>
      <c r="BE22">
        <f t="shared" si="13"/>
        <v>3.68492692695255</v>
      </c>
    </row>
    <row r="23" spans="2:57" ht="12.75">
      <c r="B23">
        <v>4</v>
      </c>
      <c r="C23" t="s">
        <v>638</v>
      </c>
      <c r="D23" t="s">
        <v>645</v>
      </c>
      <c r="E23" t="s">
        <v>650</v>
      </c>
      <c r="L23">
        <v>0.764</v>
      </c>
      <c r="M23">
        <v>1.71</v>
      </c>
      <c r="N23">
        <v>5.31</v>
      </c>
      <c r="P23">
        <f t="shared" si="0"/>
        <v>3105.263157894737</v>
      </c>
      <c r="R23" s="23">
        <v>1.02</v>
      </c>
      <c r="S23" s="23">
        <v>6.2</v>
      </c>
      <c r="U23">
        <f t="shared" si="1"/>
        <v>6078.431372549019</v>
      </c>
      <c r="V23">
        <f t="shared" si="2"/>
        <v>-0.11690664142431006</v>
      </c>
      <c r="W23">
        <f t="shared" si="2"/>
        <v>0.23299611039215382</v>
      </c>
      <c r="X23">
        <f t="shared" si="2"/>
        <v>0.725094521081469</v>
      </c>
      <c r="Z23">
        <f t="shared" si="3"/>
        <v>3.4920984106893154</v>
      </c>
      <c r="AA23">
        <v>-0.11690664142431006</v>
      </c>
      <c r="AB23">
        <f t="shared" si="4"/>
        <v>0.00860017176191757</v>
      </c>
      <c r="AC23">
        <f t="shared" si="4"/>
        <v>0.7923916894982539</v>
      </c>
      <c r="AE23">
        <f t="shared" si="5"/>
        <v>3.7837915177363364</v>
      </c>
      <c r="AG23">
        <v>4</v>
      </c>
      <c r="AH23">
        <f t="shared" si="6"/>
        <v>0.58</v>
      </c>
      <c r="AI23">
        <f t="shared" si="7"/>
        <v>0.20189353967922397</v>
      </c>
      <c r="AK23">
        <v>0.764</v>
      </c>
      <c r="AM23">
        <v>4.16</v>
      </c>
      <c r="AN23">
        <v>5.62</v>
      </c>
      <c r="AP23">
        <f t="shared" si="8"/>
        <v>1350.9615384615383</v>
      </c>
      <c r="AR23">
        <v>1.02</v>
      </c>
      <c r="AS23">
        <v>6.2</v>
      </c>
      <c r="AU23">
        <f t="shared" si="9"/>
        <v>6078.431372549019</v>
      </c>
      <c r="AW23">
        <f t="shared" si="10"/>
        <v>0.6190933306267428</v>
      </c>
      <c r="AX23">
        <f t="shared" si="10"/>
        <v>0.7497363155690611</v>
      </c>
      <c r="AZ23">
        <f t="shared" si="11"/>
        <v>3.1306429849423183</v>
      </c>
      <c r="BB23">
        <f t="shared" si="12"/>
        <v>0.00860017176191757</v>
      </c>
      <c r="BC23">
        <f t="shared" si="12"/>
        <v>0.7923916894982539</v>
      </c>
      <c r="BE23">
        <f t="shared" si="13"/>
        <v>3.7837915177363364</v>
      </c>
    </row>
    <row r="24" spans="2:57" ht="12.75">
      <c r="B24">
        <v>5</v>
      </c>
      <c r="C24" t="s">
        <v>639</v>
      </c>
      <c r="D24" t="s">
        <v>646</v>
      </c>
      <c r="E24" t="s">
        <v>651</v>
      </c>
      <c r="L24">
        <v>0.786</v>
      </c>
      <c r="M24">
        <v>1.18</v>
      </c>
      <c r="N24">
        <v>2.78</v>
      </c>
      <c r="P24">
        <f t="shared" si="0"/>
        <v>2355.9322033898306</v>
      </c>
      <c r="R24" s="23">
        <v>1.28</v>
      </c>
      <c r="S24" s="23">
        <v>6.54</v>
      </c>
      <c r="U24">
        <f t="shared" si="1"/>
        <v>5109.375</v>
      </c>
      <c r="V24">
        <f t="shared" si="2"/>
        <v>-0.10457745396059209</v>
      </c>
      <c r="W24">
        <f t="shared" si="2"/>
        <v>0.07188200730612536</v>
      </c>
      <c r="X24">
        <f t="shared" si="2"/>
        <v>0.4440447959180762</v>
      </c>
      <c r="Z24">
        <f t="shared" si="3"/>
        <v>3.3721627886119507</v>
      </c>
      <c r="AA24">
        <v>-0.10457745396059209</v>
      </c>
      <c r="AB24">
        <f t="shared" si="4"/>
        <v>0.10720996964786837</v>
      </c>
      <c r="AC24">
        <f t="shared" si="4"/>
        <v>0.8155777483242672</v>
      </c>
      <c r="AE24">
        <f t="shared" si="5"/>
        <v>3.708367778676399</v>
      </c>
      <c r="AG24">
        <v>5</v>
      </c>
      <c r="AH24">
        <f t="shared" si="6"/>
        <v>0.74</v>
      </c>
      <c r="AI24">
        <f t="shared" si="7"/>
        <v>0.6433452029738806</v>
      </c>
      <c r="AK24">
        <v>0.786</v>
      </c>
      <c r="AM24">
        <v>5.16</v>
      </c>
      <c r="AN24">
        <v>6.73</v>
      </c>
      <c r="AP24">
        <f t="shared" si="8"/>
        <v>1304.2635658914728</v>
      </c>
      <c r="AR24">
        <v>1.28</v>
      </c>
      <c r="AS24">
        <v>6.54</v>
      </c>
      <c r="AU24">
        <f t="shared" si="9"/>
        <v>5109.375</v>
      </c>
      <c r="AW24">
        <f t="shared" si="10"/>
        <v>0.7126497016272114</v>
      </c>
      <c r="AX24">
        <f t="shared" si="10"/>
        <v>0.8280150642239769</v>
      </c>
      <c r="AZ24">
        <f t="shared" si="11"/>
        <v>3.1153653625967657</v>
      </c>
      <c r="BB24">
        <f t="shared" si="12"/>
        <v>0.10720996964786837</v>
      </c>
      <c r="BC24">
        <f t="shared" si="12"/>
        <v>0.8155777483242672</v>
      </c>
      <c r="BE24">
        <f t="shared" si="13"/>
        <v>3.708367778676399</v>
      </c>
    </row>
    <row r="25" spans="2:57" ht="12.75">
      <c r="B25">
        <v>6</v>
      </c>
      <c r="C25" t="s">
        <v>640</v>
      </c>
      <c r="D25" t="s">
        <v>645</v>
      </c>
      <c r="E25" t="s">
        <v>648</v>
      </c>
      <c r="L25">
        <v>0.67</v>
      </c>
      <c r="M25">
        <v>5.34</v>
      </c>
      <c r="N25">
        <v>8.79</v>
      </c>
      <c r="P25">
        <f t="shared" si="0"/>
        <v>1646.0674157303372</v>
      </c>
      <c r="R25" s="23">
        <v>2.34</v>
      </c>
      <c r="S25" s="23">
        <v>17.57</v>
      </c>
      <c r="U25">
        <f t="shared" si="1"/>
        <v>7508.547008547009</v>
      </c>
      <c r="V25">
        <f t="shared" si="2"/>
        <v>-0.17392519729917355</v>
      </c>
      <c r="W25">
        <f t="shared" si="2"/>
        <v>0.7275412570285564</v>
      </c>
      <c r="X25">
        <f t="shared" si="2"/>
        <v>0.9439888750737718</v>
      </c>
      <c r="Z25">
        <f t="shared" si="3"/>
        <v>3.2164476180452155</v>
      </c>
      <c r="AA25">
        <v>-0.17392519729917355</v>
      </c>
      <c r="AB25">
        <f t="shared" si="4"/>
        <v>0.3692158574101428</v>
      </c>
      <c r="AC25">
        <f t="shared" si="4"/>
        <v>1.244771761495295</v>
      </c>
      <c r="AE25">
        <f t="shared" si="5"/>
        <v>3.875555904085152</v>
      </c>
      <c r="AG25">
        <v>6</v>
      </c>
      <c r="AH25">
        <f t="shared" si="6"/>
        <v>0.9</v>
      </c>
      <c r="AI25">
        <f t="shared" si="7"/>
        <v>1.2815519393373522</v>
      </c>
      <c r="AK25">
        <v>0.846</v>
      </c>
      <c r="AM25">
        <v>5.34</v>
      </c>
      <c r="AN25">
        <v>8.79</v>
      </c>
      <c r="AP25">
        <f t="shared" si="8"/>
        <v>1646.0674157303372</v>
      </c>
      <c r="AR25">
        <v>2.34</v>
      </c>
      <c r="AS25">
        <v>17.57</v>
      </c>
      <c r="AU25">
        <f t="shared" si="9"/>
        <v>7508.547008547009</v>
      </c>
      <c r="AW25">
        <f t="shared" si="10"/>
        <v>0.7275412570285564</v>
      </c>
      <c r="AX25">
        <f t="shared" si="10"/>
        <v>0.9439888750737718</v>
      </c>
      <c r="AZ25">
        <f t="shared" si="11"/>
        <v>3.2164476180452155</v>
      </c>
      <c r="BB25">
        <f t="shared" si="12"/>
        <v>0.3692158574101428</v>
      </c>
      <c r="BC25">
        <f t="shared" si="12"/>
        <v>1.244771761495295</v>
      </c>
      <c r="BE25">
        <f t="shared" si="13"/>
        <v>3.875555904085152</v>
      </c>
    </row>
    <row r="27" spans="2:31" ht="12.75">
      <c r="B27">
        <v>7</v>
      </c>
      <c r="C27" t="s">
        <v>641</v>
      </c>
      <c r="D27" t="s">
        <v>645</v>
      </c>
      <c r="E27" t="s">
        <v>651</v>
      </c>
      <c r="H27" t="s">
        <v>654</v>
      </c>
      <c r="K27" t="s">
        <v>134</v>
      </c>
      <c r="L27">
        <f>AVERAGE(L20:L25)</f>
        <v>0.7060000000000001</v>
      </c>
      <c r="M27">
        <f>AVERAGE(M20:M25)</f>
        <v>3.105</v>
      </c>
      <c r="N27">
        <f aca="true" t="shared" si="14" ref="N27:U27">AVERAGE(N20:N25)</f>
        <v>5.116666666666667</v>
      </c>
      <c r="P27">
        <f>AVERAGE(P20:P25)</f>
        <v>1853.933165413171</v>
      </c>
      <c r="R27">
        <f t="shared" si="14"/>
        <v>1.0933333333333333</v>
      </c>
      <c r="S27">
        <f t="shared" si="14"/>
        <v>6.87</v>
      </c>
      <c r="U27">
        <f t="shared" si="14"/>
        <v>6092.321523111965</v>
      </c>
      <c r="V27">
        <f>AVERAGE(V20:V25)</f>
        <v>-0.1558118051244932</v>
      </c>
      <c r="W27">
        <f>AVERAGE(W20:W25)</f>
        <v>0.39959769374462323</v>
      </c>
      <c r="X27">
        <f>AVERAGE(X20:X25)</f>
        <v>0.6430328177690885</v>
      </c>
      <c r="Z27">
        <f>AVERAGE(Z20:Z25)</f>
        <v>3.243435124024465</v>
      </c>
      <c r="AA27">
        <v>-0.1558118051244932</v>
      </c>
      <c r="AB27">
        <f>AVERAGE(AB20:AB25)</f>
        <v>-0.024814567026678603</v>
      </c>
      <c r="AC27">
        <f>AVERAGE(AC20:AC25)</f>
        <v>0.7541695967117489</v>
      </c>
      <c r="AE27">
        <f>AVERAGE(AE20:AE25)</f>
        <v>3.778984163738427</v>
      </c>
    </row>
    <row r="28" spans="2:31" ht="12.75">
      <c r="B28">
        <v>8</v>
      </c>
      <c r="C28" t="s">
        <v>642</v>
      </c>
      <c r="D28" t="s">
        <v>645</v>
      </c>
      <c r="E28" t="s">
        <v>652</v>
      </c>
      <c r="H28" t="s">
        <v>654</v>
      </c>
      <c r="K28" t="s">
        <v>135</v>
      </c>
      <c r="L28">
        <f>STDEV(L20:L25)</f>
        <v>0.11112335488095997</v>
      </c>
      <c r="M28">
        <f>STDEV(M20:M25)</f>
        <v>2.004173146212673</v>
      </c>
      <c r="N28">
        <f aca="true" t="shared" si="15" ref="N28:U28">STDEV(N20:N25)</f>
        <v>2.6512311605491248</v>
      </c>
      <c r="P28">
        <f>STDEV(P20:P25)</f>
        <v>729.2501158680517</v>
      </c>
      <c r="R28">
        <f t="shared" si="15"/>
        <v>0.6797254347651459</v>
      </c>
      <c r="S28">
        <f t="shared" si="15"/>
        <v>5.422737316153163</v>
      </c>
      <c r="U28">
        <f t="shared" si="15"/>
        <v>1094.0178285589666</v>
      </c>
      <c r="V28">
        <f>STDEV(V20:V25)</f>
        <v>0.06989210059635785</v>
      </c>
      <c r="W28" s="1">
        <f>STDEV(W20:W25)</f>
        <v>0.3234080662944296</v>
      </c>
      <c r="X28" s="1">
        <f>STDEV(X20:X25)</f>
        <v>0.2859420197002022</v>
      </c>
      <c r="Y28" s="1"/>
      <c r="Z28" s="1">
        <f>STDEV(Z20:Z25)</f>
        <v>0.15508439489780182</v>
      </c>
      <c r="AA28">
        <v>0.06989210059635785</v>
      </c>
      <c r="AB28" s="1">
        <f>STDEV(AB20:AB25)</f>
        <v>0.2544086275234387</v>
      </c>
      <c r="AC28" s="1">
        <f>STDEV(AC20:AC25)</f>
        <v>0.2721919336810012</v>
      </c>
      <c r="AD28" s="1"/>
      <c r="AE28" s="1">
        <f>STDEV(AE20:AE25)</f>
        <v>0.07762375400723268</v>
      </c>
    </row>
    <row r="29" spans="2:27" ht="12.75">
      <c r="B29">
        <v>9</v>
      </c>
      <c r="C29" t="s">
        <v>643</v>
      </c>
      <c r="D29" t="s">
        <v>645</v>
      </c>
      <c r="E29" t="s">
        <v>651</v>
      </c>
      <c r="H29" t="s">
        <v>654</v>
      </c>
      <c r="K29" t="s">
        <v>136</v>
      </c>
      <c r="L29">
        <f>COUNT(L20:L25)</f>
        <v>6</v>
      </c>
      <c r="M29">
        <f>COUNT(M20:M25)</f>
        <v>6</v>
      </c>
      <c r="N29">
        <f aca="true" t="shared" si="16" ref="N29:U29">COUNT(N20:N25)</f>
        <v>6</v>
      </c>
      <c r="P29">
        <f>COUNT(P20:P25)</f>
        <v>6</v>
      </c>
      <c r="R29">
        <f t="shared" si="16"/>
        <v>6</v>
      </c>
      <c r="S29">
        <f t="shared" si="16"/>
        <v>6</v>
      </c>
      <c r="U29">
        <f t="shared" si="16"/>
        <v>6</v>
      </c>
      <c r="V29">
        <f>COUNT(V20:V25)</f>
        <v>6</v>
      </c>
      <c r="AA29">
        <v>6</v>
      </c>
    </row>
    <row r="30" spans="2:21" ht="12.75">
      <c r="B30">
        <v>10</v>
      </c>
      <c r="C30" t="s">
        <v>644</v>
      </c>
      <c r="D30" t="s">
        <v>645</v>
      </c>
      <c r="E30" t="s">
        <v>651</v>
      </c>
      <c r="H30" t="s">
        <v>654</v>
      </c>
      <c r="K30" t="s">
        <v>137</v>
      </c>
      <c r="L30">
        <f>(L28/L29^0.5)</f>
        <v>0.045365919660761075</v>
      </c>
      <c r="M30">
        <f>(M28/M29^0.5)</f>
        <v>0.8182002607349055</v>
      </c>
      <c r="N30">
        <f aca="true" t="shared" si="17" ref="N30:U30">(N28/N29^0.5)</f>
        <v>1.0823605889187038</v>
      </c>
      <c r="P30">
        <f>(P28/P29^0.5)</f>
        <v>297.71511312370615</v>
      </c>
      <c r="R30">
        <f t="shared" si="17"/>
        <v>0.2774967467276769</v>
      </c>
      <c r="S30">
        <f t="shared" si="17"/>
        <v>2.2138232389541255</v>
      </c>
      <c r="U30">
        <f t="shared" si="17"/>
        <v>446.6309082461857</v>
      </c>
    </row>
    <row r="31" spans="11:21" ht="12.75">
      <c r="K31" t="s">
        <v>138</v>
      </c>
      <c r="L31" s="1">
        <f>L28/L27</f>
        <v>0.15739851966141635</v>
      </c>
      <c r="M31" s="1">
        <f>M28/M27</f>
        <v>0.6454663916949027</v>
      </c>
      <c r="N31" s="1">
        <f aca="true" t="shared" si="18" ref="N31:U31">N28/N27</f>
        <v>0.5181559271431514</v>
      </c>
      <c r="P31" s="1">
        <f>P28/P27</f>
        <v>0.39335296949905396</v>
      </c>
      <c r="R31" s="1">
        <f t="shared" si="18"/>
        <v>0.6217000927729993</v>
      </c>
      <c r="S31" s="1">
        <f t="shared" si="18"/>
        <v>0.7893358538796452</v>
      </c>
      <c r="T31" s="1"/>
      <c r="U31" s="1">
        <f t="shared" si="18"/>
        <v>0.1795732258070551</v>
      </c>
    </row>
    <row r="32" spans="13:15" ht="12.75">
      <c r="M32" s="1"/>
      <c r="O32" s="1"/>
    </row>
  </sheetData>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U27"/>
  <sheetViews>
    <sheetView workbookViewId="0" topLeftCell="D7">
      <selection activeCell="R11" activeCellId="1" sqref="M11:M23 R11:R23"/>
    </sheetView>
  </sheetViews>
  <sheetFormatPr defaultColWidth="9.140625" defaultRowHeight="12.75"/>
  <cols>
    <col min="1" max="2" width="8.8515625" style="0" customWidth="1"/>
    <col min="3" max="3" width="26.8515625" style="0" customWidth="1"/>
    <col min="4" max="4" width="8.8515625" style="0" customWidth="1"/>
    <col min="5" max="5" width="18.421875" style="0" customWidth="1"/>
    <col min="6" max="6" width="18.140625" style="0" customWidth="1"/>
    <col min="7" max="10" width="8.8515625" style="0" customWidth="1"/>
    <col min="11" max="11" width="12.8515625" style="0" customWidth="1"/>
    <col min="12" max="12" width="14.421875" style="0" customWidth="1"/>
    <col min="13" max="16384" width="8.8515625" style="0" customWidth="1"/>
  </cols>
  <sheetData>
    <row r="1" spans="1:21" ht="63.75">
      <c r="A1" s="7" t="s">
        <v>69</v>
      </c>
      <c r="B1" s="7" t="s">
        <v>57</v>
      </c>
      <c r="C1" s="7" t="s">
        <v>58</v>
      </c>
      <c r="D1" s="7" t="s">
        <v>59</v>
      </c>
      <c r="E1" s="7" t="s">
        <v>60</v>
      </c>
      <c r="F1" s="7" t="s">
        <v>92</v>
      </c>
      <c r="G1" s="7" t="s">
        <v>61</v>
      </c>
      <c r="H1" s="7" t="s">
        <v>62</v>
      </c>
      <c r="I1" s="7" t="s">
        <v>63</v>
      </c>
      <c r="J1" s="8" t="s">
        <v>64</v>
      </c>
      <c r="K1" s="8" t="s">
        <v>138</v>
      </c>
      <c r="L1" s="7" t="s">
        <v>1126</v>
      </c>
      <c r="M1" s="7" t="s">
        <v>1127</v>
      </c>
      <c r="N1" s="7" t="s">
        <v>66</v>
      </c>
      <c r="O1" s="7" t="s">
        <v>85</v>
      </c>
      <c r="P1" s="7" t="s">
        <v>67</v>
      </c>
      <c r="Q1" s="7" t="s">
        <v>68</v>
      </c>
      <c r="R1" s="10"/>
      <c r="S1" s="10"/>
      <c r="T1" s="10"/>
      <c r="U1" s="10"/>
    </row>
    <row r="2" spans="2:16" ht="12.75">
      <c r="B2" t="s">
        <v>725</v>
      </c>
      <c r="D2" t="s">
        <v>726</v>
      </c>
      <c r="E2" t="s">
        <v>727</v>
      </c>
      <c r="G2" t="s">
        <v>102</v>
      </c>
      <c r="I2" t="s">
        <v>562</v>
      </c>
      <c r="J2">
        <v>0.3791967641517786</v>
      </c>
      <c r="K2">
        <v>0.7047278168117416</v>
      </c>
      <c r="L2" t="s">
        <v>87</v>
      </c>
      <c r="M2" t="s">
        <v>797</v>
      </c>
      <c r="N2" t="s">
        <v>95</v>
      </c>
      <c r="O2">
        <v>0.908</v>
      </c>
      <c r="P2">
        <v>13</v>
      </c>
    </row>
    <row r="7" spans="5:6" ht="12.75">
      <c r="E7" t="s">
        <v>630</v>
      </c>
      <c r="F7" t="s">
        <v>632</v>
      </c>
    </row>
    <row r="8" spans="2:13" ht="12.75">
      <c r="B8" t="s">
        <v>736</v>
      </c>
      <c r="C8" t="s">
        <v>737</v>
      </c>
      <c r="E8" t="s">
        <v>631</v>
      </c>
      <c r="F8" t="s">
        <v>633</v>
      </c>
      <c r="H8" t="s">
        <v>1035</v>
      </c>
      <c r="I8" t="s">
        <v>634</v>
      </c>
      <c r="L8" t="s">
        <v>189</v>
      </c>
      <c r="M8" t="s">
        <v>190</v>
      </c>
    </row>
    <row r="9" spans="2:9" ht="12.75">
      <c r="B9" t="s">
        <v>728</v>
      </c>
      <c r="C9" t="s">
        <v>738</v>
      </c>
      <c r="E9">
        <v>0.75</v>
      </c>
      <c r="F9">
        <v>0.34</v>
      </c>
      <c r="H9">
        <f>LOG(E9)</f>
        <v>-0.12493873660829995</v>
      </c>
      <c r="I9">
        <f>LOG(F9)</f>
        <v>-0.46852108295774486</v>
      </c>
    </row>
    <row r="10" spans="2:19" ht="12.75">
      <c r="B10" t="s">
        <v>729</v>
      </c>
      <c r="C10" t="s">
        <v>739</v>
      </c>
      <c r="E10">
        <v>0.32</v>
      </c>
      <c r="F10">
        <v>0.11</v>
      </c>
      <c r="H10">
        <f aca="true" t="shared" si="0" ref="H10:H20">LOG(E10)</f>
        <v>-0.494850021680094</v>
      </c>
      <c r="I10">
        <f aca="true" t="shared" si="1" ref="I10:I21">LOG(F10)</f>
        <v>-0.958607314841775</v>
      </c>
      <c r="N10" t="s">
        <v>634</v>
      </c>
      <c r="O10" t="s">
        <v>633</v>
      </c>
      <c r="R10" t="s">
        <v>1035</v>
      </c>
      <c r="S10" t="s">
        <v>634</v>
      </c>
    </row>
    <row r="11" spans="2:19" ht="12.75">
      <c r="B11" t="s">
        <v>77</v>
      </c>
      <c r="C11" t="s">
        <v>740</v>
      </c>
      <c r="E11">
        <v>0.5</v>
      </c>
      <c r="F11">
        <v>0.94</v>
      </c>
      <c r="H11">
        <f t="shared" si="0"/>
        <v>-0.3010299956639812</v>
      </c>
      <c r="I11">
        <f t="shared" si="1"/>
        <v>-0.026872146400301365</v>
      </c>
      <c r="K11">
        <v>1</v>
      </c>
      <c r="L11">
        <f>(K11-3/8)/13.25</f>
        <v>0.04716981132075472</v>
      </c>
      <c r="M11">
        <f>NORMSINV(L11)</f>
        <v>-1.6729371476353663</v>
      </c>
      <c r="N11">
        <v>-1.3010299956639813</v>
      </c>
      <c r="O11">
        <v>0.05</v>
      </c>
      <c r="S11">
        <v>-1.3010299956639813</v>
      </c>
    </row>
    <row r="12" spans="2:19" ht="12.75">
      <c r="B12" t="s">
        <v>78</v>
      </c>
      <c r="C12" t="s">
        <v>741</v>
      </c>
      <c r="E12">
        <v>0</v>
      </c>
      <c r="F12">
        <v>1.33</v>
      </c>
      <c r="I12">
        <f t="shared" si="1"/>
        <v>0.12385164096708581</v>
      </c>
      <c r="K12">
        <v>2</v>
      </c>
      <c r="L12">
        <f aca="true" t="shared" si="2" ref="L12:L23">(K12-3/8)/13.25</f>
        <v>0.12264150943396226</v>
      </c>
      <c r="M12">
        <f aca="true" t="shared" si="3" ref="M12:M23">NORMSINV(L12)</f>
        <v>-1.1618832105054229</v>
      </c>
      <c r="N12">
        <v>-0.958607314841775</v>
      </c>
      <c r="O12">
        <v>0.11</v>
      </c>
      <c r="S12">
        <v>-0.958607314841775</v>
      </c>
    </row>
    <row r="13" spans="2:19" ht="12.75">
      <c r="B13" t="s">
        <v>79</v>
      </c>
      <c r="C13" t="s">
        <v>628</v>
      </c>
      <c r="E13">
        <v>0</v>
      </c>
      <c r="F13">
        <v>0.55</v>
      </c>
      <c r="I13">
        <f t="shared" si="1"/>
        <v>-0.2596373105057561</v>
      </c>
      <c r="K13">
        <v>3</v>
      </c>
      <c r="L13">
        <f t="shared" si="2"/>
        <v>0.19811320754716982</v>
      </c>
      <c r="M13">
        <f t="shared" si="3"/>
        <v>-0.8483797467577003</v>
      </c>
      <c r="N13">
        <v>-0.638272163982407</v>
      </c>
      <c r="O13">
        <v>0.23</v>
      </c>
      <c r="S13">
        <v>-0.638272163982407</v>
      </c>
    </row>
    <row r="14" spans="2:19" ht="12.75">
      <c r="B14" t="s">
        <v>730</v>
      </c>
      <c r="C14" t="s">
        <v>629</v>
      </c>
      <c r="E14">
        <v>0.46</v>
      </c>
      <c r="F14">
        <v>0.41</v>
      </c>
      <c r="H14">
        <f t="shared" si="0"/>
        <v>-0.3372421683184259</v>
      </c>
      <c r="I14">
        <f t="shared" si="1"/>
        <v>-0.38721614328026455</v>
      </c>
      <c r="K14">
        <v>4</v>
      </c>
      <c r="L14">
        <f t="shared" si="2"/>
        <v>0.27358490566037735</v>
      </c>
      <c r="M14">
        <f t="shared" si="3"/>
        <v>-0.6020063382260956</v>
      </c>
      <c r="N14">
        <v>-0.46852108295774486</v>
      </c>
      <c r="O14">
        <v>0.34</v>
      </c>
      <c r="R14">
        <v>-0.494850021680094</v>
      </c>
      <c r="S14">
        <v>-0.46852108295774486</v>
      </c>
    </row>
    <row r="15" spans="2:19" ht="12.75">
      <c r="B15" t="s">
        <v>80</v>
      </c>
      <c r="C15" t="s">
        <v>629</v>
      </c>
      <c r="E15">
        <v>0.46</v>
      </c>
      <c r="F15">
        <v>0.38</v>
      </c>
      <c r="H15">
        <f t="shared" si="0"/>
        <v>-0.3372421683184259</v>
      </c>
      <c r="I15">
        <f t="shared" si="1"/>
        <v>-0.42021640338318983</v>
      </c>
      <c r="K15">
        <v>5</v>
      </c>
      <c r="L15">
        <f t="shared" si="2"/>
        <v>0.3490566037735849</v>
      </c>
      <c r="M15">
        <f t="shared" si="3"/>
        <v>-0.38786882746420026</v>
      </c>
      <c r="N15">
        <v>-0.42021640338318983</v>
      </c>
      <c r="O15">
        <v>0.38</v>
      </c>
      <c r="R15">
        <v>-0.4814860601221125</v>
      </c>
      <c r="S15">
        <v>-0.42021640338318983</v>
      </c>
    </row>
    <row r="16" spans="2:19" ht="12.75">
      <c r="B16" t="s">
        <v>731</v>
      </c>
      <c r="C16" t="s">
        <v>629</v>
      </c>
      <c r="E16">
        <v>0.45</v>
      </c>
      <c r="F16">
        <v>0.54</v>
      </c>
      <c r="H16">
        <f t="shared" si="0"/>
        <v>-0.3467874862246563</v>
      </c>
      <c r="I16">
        <f t="shared" si="1"/>
        <v>-0.26760624017703144</v>
      </c>
      <c r="K16">
        <v>6</v>
      </c>
      <c r="L16">
        <f t="shared" si="2"/>
        <v>0.42452830188679247</v>
      </c>
      <c r="M16">
        <f t="shared" si="3"/>
        <v>-0.1903223078468848</v>
      </c>
      <c r="N16">
        <v>-0.42021640338318983</v>
      </c>
      <c r="O16">
        <v>0.38</v>
      </c>
      <c r="R16">
        <v>-0.42021640338318983</v>
      </c>
      <c r="S16">
        <v>-0.42021640338318983</v>
      </c>
    </row>
    <row r="17" spans="2:19" ht="12.75">
      <c r="B17" t="s">
        <v>732</v>
      </c>
      <c r="C17" t="s">
        <v>629</v>
      </c>
      <c r="E17">
        <v>0.69</v>
      </c>
      <c r="F17">
        <v>0.38</v>
      </c>
      <c r="H17">
        <f t="shared" si="0"/>
        <v>-0.16115090926274472</v>
      </c>
      <c r="I17">
        <f t="shared" si="1"/>
        <v>-0.42021640338318983</v>
      </c>
      <c r="K17">
        <v>7</v>
      </c>
      <c r="L17">
        <f t="shared" si="2"/>
        <v>0.5</v>
      </c>
      <c r="M17">
        <f t="shared" si="3"/>
        <v>5.471417352459603E-10</v>
      </c>
      <c r="N17">
        <v>-0.38721614328026455</v>
      </c>
      <c r="O17">
        <v>0.41</v>
      </c>
      <c r="R17">
        <v>-0.3467874862246563</v>
      </c>
      <c r="S17">
        <v>-0.38721614328026455</v>
      </c>
    </row>
    <row r="18" spans="2:19" ht="12.75">
      <c r="B18" t="s">
        <v>733</v>
      </c>
      <c r="C18" t="s">
        <v>629</v>
      </c>
      <c r="E18">
        <v>0.33</v>
      </c>
      <c r="F18">
        <v>0.05</v>
      </c>
      <c r="H18">
        <f t="shared" si="0"/>
        <v>-0.4814860601221125</v>
      </c>
      <c r="I18">
        <f t="shared" si="1"/>
        <v>-1.3010299956639813</v>
      </c>
      <c r="K18">
        <v>8</v>
      </c>
      <c r="L18">
        <f t="shared" si="2"/>
        <v>0.5754716981132075</v>
      </c>
      <c r="M18">
        <f t="shared" si="3"/>
        <v>0.1903223078468846</v>
      </c>
      <c r="N18">
        <v>-0.38721614328026455</v>
      </c>
      <c r="O18">
        <v>0.41</v>
      </c>
      <c r="R18">
        <v>-0.3372421683184259</v>
      </c>
      <c r="S18">
        <v>-0.38721614328026455</v>
      </c>
    </row>
    <row r="19" spans="2:19" ht="12.75">
      <c r="B19" t="s">
        <v>81</v>
      </c>
      <c r="C19" t="s">
        <v>629</v>
      </c>
      <c r="E19">
        <v>0.38</v>
      </c>
      <c r="F19">
        <v>0.23</v>
      </c>
      <c r="H19">
        <f t="shared" si="0"/>
        <v>-0.42021640338318983</v>
      </c>
      <c r="I19">
        <f t="shared" si="1"/>
        <v>-0.638272163982407</v>
      </c>
      <c r="K19">
        <v>9</v>
      </c>
      <c r="L19">
        <f t="shared" si="2"/>
        <v>0.6509433962264151</v>
      </c>
      <c r="M19">
        <f t="shared" si="3"/>
        <v>0.38786882746420015</v>
      </c>
      <c r="N19">
        <v>-0.26760624017703144</v>
      </c>
      <c r="O19">
        <v>0.54</v>
      </c>
      <c r="R19">
        <v>-0.3372421683184259</v>
      </c>
      <c r="S19">
        <v>-0.26760624017703144</v>
      </c>
    </row>
    <row r="20" spans="2:19" ht="12.75">
      <c r="B20" t="s">
        <v>734</v>
      </c>
      <c r="C20" t="s">
        <v>629</v>
      </c>
      <c r="E20">
        <v>0.64</v>
      </c>
      <c r="F20">
        <v>0.41</v>
      </c>
      <c r="H20">
        <f t="shared" si="0"/>
        <v>-0.1938200260161128</v>
      </c>
      <c r="I20">
        <f t="shared" si="1"/>
        <v>-0.38721614328026455</v>
      </c>
      <c r="K20">
        <v>10</v>
      </c>
      <c r="L20">
        <f t="shared" si="2"/>
        <v>0.7264150943396226</v>
      </c>
      <c r="M20">
        <f t="shared" si="3"/>
        <v>0.6020063382260954</v>
      </c>
      <c r="N20">
        <v>-0.2596373105057561</v>
      </c>
      <c r="O20">
        <v>0.55</v>
      </c>
      <c r="R20">
        <v>-0.3010299956639812</v>
      </c>
      <c r="S20">
        <v>-0.2596373105057561</v>
      </c>
    </row>
    <row r="21" spans="2:19" ht="12.75">
      <c r="B21" t="s">
        <v>735</v>
      </c>
      <c r="C21" t="s">
        <v>629</v>
      </c>
      <c r="E21">
        <v>0</v>
      </c>
      <c r="F21">
        <v>0.81</v>
      </c>
      <c r="I21">
        <f t="shared" si="1"/>
        <v>-0.09151498112135022</v>
      </c>
      <c r="K21">
        <v>11</v>
      </c>
      <c r="L21">
        <f t="shared" si="2"/>
        <v>0.8018867924528302</v>
      </c>
      <c r="M21">
        <f t="shared" si="3"/>
        <v>0.8483797467577003</v>
      </c>
      <c r="N21">
        <v>-0.09151498112135022</v>
      </c>
      <c r="O21">
        <v>0.81</v>
      </c>
      <c r="R21">
        <v>-0.1938200260161128</v>
      </c>
      <c r="S21">
        <v>-0.09151498112135022</v>
      </c>
    </row>
    <row r="22" spans="11:19" ht="12.75">
      <c r="K22">
        <v>12</v>
      </c>
      <c r="L22">
        <f t="shared" si="2"/>
        <v>0.8773584905660378</v>
      </c>
      <c r="M22">
        <f t="shared" si="3"/>
        <v>1.1618832105054229</v>
      </c>
      <c r="N22">
        <v>-0.026872146400301365</v>
      </c>
      <c r="O22">
        <v>0.94</v>
      </c>
      <c r="R22">
        <v>-0.16115090926274472</v>
      </c>
      <c r="S22">
        <v>-0.026872146400301365</v>
      </c>
    </row>
    <row r="23" spans="3:19" ht="12.75">
      <c r="C23" t="s">
        <v>134</v>
      </c>
      <c r="E23">
        <f>AVERAGE(E9:E21)</f>
        <v>0.3830769230769231</v>
      </c>
      <c r="F23">
        <f>AVERAGE(F9:F21)</f>
        <v>0.4984615384615385</v>
      </c>
      <c r="H23">
        <f>AVERAGE(H9:H21)</f>
        <v>-0.31987639755980435</v>
      </c>
      <c r="I23">
        <f>AVERAGE(I9:I21)</f>
        <v>-0.4233134375392439</v>
      </c>
      <c r="K23">
        <v>13</v>
      </c>
      <c r="L23">
        <f t="shared" si="2"/>
        <v>0.9528301886792453</v>
      </c>
      <c r="M23">
        <f t="shared" si="3"/>
        <v>1.6729371476353663</v>
      </c>
      <c r="N23">
        <v>0.12385164096708581</v>
      </c>
      <c r="O23">
        <v>1.33</v>
      </c>
      <c r="R23">
        <v>-0.12493873660829995</v>
      </c>
      <c r="S23">
        <v>0.12385164096708581</v>
      </c>
    </row>
    <row r="24" spans="3:9" ht="12.75">
      <c r="C24" t="s">
        <v>135</v>
      </c>
      <c r="E24">
        <f>STDEV(E9:E21)</f>
        <v>0.25361994583052205</v>
      </c>
      <c r="F24">
        <f>STDEV(F9:F21)</f>
        <v>0.35127971176462197</v>
      </c>
      <c r="H24">
        <f>STDEV(H9:H21)</f>
        <v>0.1280489418519782</v>
      </c>
      <c r="I24" s="1">
        <f>STDEV(I9:I21)</f>
        <v>0.3791967641517786</v>
      </c>
    </row>
    <row r="25" spans="3:9" ht="12.75">
      <c r="C25" t="s">
        <v>136</v>
      </c>
      <c r="E25">
        <f>COUNT(E9:E21)</f>
        <v>13</v>
      </c>
      <c r="F25">
        <f>COUNT(F9:F21)</f>
        <v>13</v>
      </c>
      <c r="H25">
        <f>COUNT(H9:H21)</f>
        <v>10</v>
      </c>
      <c r="I25">
        <f>COUNT(I9:I21)</f>
        <v>13</v>
      </c>
    </row>
    <row r="26" spans="3:6" ht="12.75">
      <c r="C26" t="s">
        <v>137</v>
      </c>
      <c r="E26">
        <f>(E24/E25^0.5)</f>
        <v>0.07034151685941128</v>
      </c>
      <c r="F26">
        <f>(F24/F25^0.5)</f>
        <v>0.09742746252288888</v>
      </c>
    </row>
    <row r="27" spans="3:6" ht="12.75">
      <c r="C27" t="s">
        <v>138</v>
      </c>
      <c r="E27" s="1">
        <f>E24/E23</f>
        <v>0.6620600995575877</v>
      </c>
      <c r="F27" s="1">
        <f>F24/F23</f>
        <v>0.7047278168117416</v>
      </c>
    </row>
  </sheetData>
  <printOptions/>
  <pageMargins left="0.75" right="0.75" top="1" bottom="1" header="0.5" footer="0.5"/>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Meghan</dc:creator>
  <cp:keywords/>
  <dc:description/>
  <cp:lastModifiedBy>Meghan</cp:lastModifiedBy>
  <cp:lastPrinted>2006-05-19T01:52:57Z</cp:lastPrinted>
  <dcterms:created xsi:type="dcterms:W3CDTF">2005-10-19T20:49:39Z</dcterms:created>
  <dcterms:modified xsi:type="dcterms:W3CDTF">2006-10-25T00:27:14Z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